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5" windowWidth="21840" windowHeight="9000" tabRatio="946" activeTab="0"/>
  </bookViews>
  <sheets>
    <sheet name="Preperation" sheetId="1" r:id="rId1"/>
    <sheet name="Preperation (EMPTY)" sheetId="2" state="hidden" r:id="rId2"/>
    <sheet name="Stars" sheetId="3" state="hidden" r:id="rId3"/>
    <sheet name="Calculation Sheet" sheetId="4" r:id="rId4"/>
    <sheet name="Plotting (sight Reduction)" sheetId="5" r:id="rId5"/>
    <sheet name="Plotting Sheet (empty)" sheetId="6" r:id="rId6"/>
    <sheet name="HO 249 Table 4 (2005)" sheetId="7" r:id="rId7"/>
    <sheet name="Increments and Corrections" sheetId="8" r:id="rId8"/>
    <sheet name="Correction for Sun LL" sheetId="9" r:id="rId9"/>
    <sheet name="Correction for Fixed Stars" sheetId="10" r:id="rId10"/>
    <sheet name="Correction for Moon LL and UL" sheetId="11" r:id="rId11"/>
  </sheets>
  <definedNames>
    <definedName name="Border">'Calculation Sheet'!$BC$61</definedName>
    <definedName name="_xlnm.Print_Area" localSheetId="3">'Calculation Sheet'!$C$2:$AL$55</definedName>
    <definedName name="_xlnm.Print_Area" localSheetId="4">'Plotting (sight Reduction)'!$A$1:$BD$27</definedName>
    <definedName name="_xlnm.Print_Area" localSheetId="5">'Plotting Sheet (empty)'!$A$1:$BD$27</definedName>
    <definedName name="_xlnm.Print_Area" localSheetId="0">'Preperation'!$C$3:$AL$46</definedName>
    <definedName name="_xlnm.Print_Area" localSheetId="1">'Preperation (EMPTY)'!$A:$AJ</definedName>
    <definedName name="LoP" localSheetId="5">'Plotting Sheet (empty)'!$BL$15</definedName>
    <definedName name="LoP">'Plotting (sight Reduction)'!$BL$15</definedName>
    <definedName name="min_l" localSheetId="10">#REF!</definedName>
    <definedName name="min_l" localSheetId="7">'Increments and Corrections'!$B$5</definedName>
    <definedName name="min_l" localSheetId="5">#REF!</definedName>
    <definedName name="min_l">#REF!</definedName>
    <definedName name="min_r" localSheetId="10">#REF!</definedName>
    <definedName name="min_r" localSheetId="7">'Increments and Corrections'!$K$5</definedName>
    <definedName name="min_r" localSheetId="5">#REF!</definedName>
    <definedName name="min_r">#REF!</definedName>
    <definedName name="MPP">'Calculation Sheet'!$BH$85:$BH$87</definedName>
    <definedName name="Scale">'Calculation Sheet'!$BC$60</definedName>
    <definedName name="W_Border" localSheetId="5">'Plotting Sheet (empty)'!$BI$20</definedName>
    <definedName name="W_Border">'Plotting (sight Reduction)'!$BI$20</definedName>
    <definedName name="ZOOM">'Calculation Sheet'!$BC$59</definedName>
  </definedNames>
  <calcPr fullCalcOnLoad="1"/>
</workbook>
</file>

<file path=xl/comments1.xml><?xml version="1.0" encoding="utf-8"?>
<comments xmlns="http://schemas.openxmlformats.org/spreadsheetml/2006/main">
  <authors>
    <author>Office</author>
    <author>Andr? Schmidt</author>
  </authors>
  <commentList>
    <comment ref="AN38" authorId="0">
      <text>
        <r>
          <rPr>
            <sz val="12"/>
            <rFont val="Cambria"/>
            <family val="1"/>
          </rPr>
          <t>Enter "X" or "x" for highlighting as per HO 249 indicated by black diamond (</t>
        </r>
        <r>
          <rPr>
            <b/>
            <sz val="12"/>
            <rFont val="Cambria"/>
            <family val="1"/>
          </rPr>
          <t>◊</t>
        </r>
        <r>
          <rPr>
            <sz val="12"/>
            <rFont val="Cambria"/>
            <family val="1"/>
          </rPr>
          <t>)</t>
        </r>
      </text>
    </comment>
    <comment ref="F8" authorId="1">
      <text>
        <r>
          <rPr>
            <sz val="11"/>
            <rFont val="Cambria"/>
            <family val="1"/>
          </rPr>
          <t xml:space="preserve">Enter position by numbers and digits only. </t>
        </r>
        <r>
          <rPr>
            <sz val="11"/>
            <color indexed="10"/>
            <rFont val="Cambria"/>
            <family val="1"/>
          </rPr>
          <t>N + / S -</t>
        </r>
        <r>
          <rPr>
            <sz val="11"/>
            <rFont val="Cambria"/>
            <family val="1"/>
          </rPr>
          <t xml:space="preserve"> 
(e. g. 53° 24,7' N = 5324,7 or 27° 13,0' S = -2713)</t>
        </r>
      </text>
    </comment>
    <comment ref="F9" authorId="1">
      <text>
        <r>
          <rPr>
            <sz val="11"/>
            <rFont val="Cambria"/>
            <family val="1"/>
          </rPr>
          <t>Enter position by numbers and digits only.</t>
        </r>
        <r>
          <rPr>
            <sz val="11"/>
            <color indexed="10"/>
            <rFont val="Cambria"/>
            <family val="1"/>
          </rPr>
          <t xml:space="preserve"> E + / W - </t>
        </r>
        <r>
          <rPr>
            <sz val="11"/>
            <rFont val="Cambria"/>
            <family val="1"/>
          </rPr>
          <t xml:space="preserve">
(e. g. 023° 04,1' E = 2304,1 or 130° 00,4' W = -13000,4)</t>
        </r>
      </text>
    </comment>
  </commentList>
</comments>
</file>

<file path=xl/comments4.xml><?xml version="1.0" encoding="utf-8"?>
<comments xmlns="http://schemas.openxmlformats.org/spreadsheetml/2006/main">
  <authors>
    <author>Andr? Schmidt</author>
  </authors>
  <commentList>
    <comment ref="AC56" authorId="0">
      <text>
        <r>
          <rPr>
            <b/>
            <sz val="14"/>
            <rFont val="Calibri"/>
            <family val="2"/>
          </rPr>
          <t>To be choosen on ploting sheet</t>
        </r>
      </text>
    </comment>
    <comment ref="S24" authorId="0">
      <text>
        <r>
          <rPr>
            <sz val="12"/>
            <rFont val="Calibri"/>
            <family val="2"/>
          </rPr>
          <t xml:space="preserve">fill in Horizontal Parallax for </t>
        </r>
        <r>
          <rPr>
            <b/>
            <sz val="12"/>
            <color indexed="10"/>
            <rFont val="Calibri"/>
            <family val="2"/>
          </rPr>
          <t>Moon</t>
        </r>
        <r>
          <rPr>
            <sz val="12"/>
            <rFont val="Calibri"/>
            <family val="2"/>
          </rPr>
          <t xml:space="preserve"> and Planets (if any) only.</t>
        </r>
      </text>
    </comment>
    <comment ref="S25" authorId="0">
      <text>
        <r>
          <rPr>
            <sz val="12"/>
            <rFont val="Calibri"/>
            <family val="2"/>
          </rPr>
          <t>fill in SD for Sun (daily page) only</t>
        </r>
      </text>
    </comment>
    <comment ref="M10" authorId="0">
      <text>
        <r>
          <rPr>
            <sz val="11"/>
            <rFont val="Cambria"/>
            <family val="1"/>
          </rPr>
          <t>YYYY-MM-DD hh:mm:ss</t>
        </r>
      </text>
    </comment>
    <comment ref="M14" authorId="0">
      <text>
        <r>
          <rPr>
            <sz val="11"/>
            <rFont val="Cambria"/>
            <family val="1"/>
          </rPr>
          <t>°C</t>
        </r>
      </text>
    </comment>
    <comment ref="P14" authorId="0">
      <text>
        <r>
          <rPr>
            <sz val="11"/>
            <rFont val="Cambria"/>
            <family val="1"/>
          </rPr>
          <t>bar</t>
        </r>
      </text>
    </comment>
    <comment ref="M16" authorId="0">
      <text>
        <r>
          <rPr>
            <sz val="10"/>
            <rFont val="Cambria"/>
            <family val="1"/>
          </rPr>
          <t xml:space="preserve">Enter position by numbers and digits only. </t>
        </r>
        <r>
          <rPr>
            <sz val="10"/>
            <color indexed="10"/>
            <rFont val="Cambria"/>
            <family val="1"/>
          </rPr>
          <t xml:space="preserve">N + / S - </t>
        </r>
        <r>
          <rPr>
            <sz val="10"/>
            <rFont val="Cambria"/>
            <family val="1"/>
          </rPr>
          <t xml:space="preserve">
(e. g. 53° 24,7' N = 5324,7 or 27° 13,0' S = -2713)</t>
        </r>
      </text>
    </comment>
    <comment ref="M17" authorId="0">
      <text>
        <r>
          <rPr>
            <sz val="10"/>
            <rFont val="Cambria"/>
            <family val="1"/>
          </rPr>
          <t xml:space="preserve">Enter position by numbers and digits only. </t>
        </r>
        <r>
          <rPr>
            <sz val="10"/>
            <color indexed="10"/>
            <rFont val="Cambria"/>
            <family val="1"/>
          </rPr>
          <t xml:space="preserve">E + / W - </t>
        </r>
        <r>
          <rPr>
            <sz val="10"/>
            <rFont val="Cambria"/>
            <family val="1"/>
          </rPr>
          <t xml:space="preserve">
(e. g. 023° 04,1' E = 2304,1 or 130° 00,4' W = -13000,4)</t>
        </r>
      </text>
    </comment>
    <comment ref="M19" authorId="0">
      <text>
        <r>
          <rPr>
            <sz val="11"/>
            <rFont val="Cambria"/>
            <family val="1"/>
          </rPr>
          <t>1234,5 for 12° 34,5'</t>
        </r>
      </text>
    </comment>
  </commentList>
</comments>
</file>

<file path=xl/comments9.xml><?xml version="1.0" encoding="utf-8"?>
<comments xmlns="http://schemas.openxmlformats.org/spreadsheetml/2006/main">
  <authors>
    <author>Andr? Schmidt</author>
  </authors>
  <commentList>
    <comment ref="T20" authorId="0">
      <text>
        <r>
          <rPr>
            <b/>
            <sz val="14"/>
            <rFont val="Calibri"/>
            <family val="2"/>
          </rPr>
          <t xml:space="preserve">Example
</t>
        </r>
        <r>
          <rPr>
            <sz val="14"/>
            <rFont val="Calibri"/>
            <family val="2"/>
          </rPr>
          <t xml:space="preserve">Sun's Sextant Altitude Lower Limb
Corrected for Index Error        = 17 °
Refraction (Ro) for about 17°  = 3.2'
DIP of Sea Horizon for 20 m    = 7.9'
Sun's Parallay for about 17°    ≈ 0.1'
Month is June (SD = 15.8').
</t>
        </r>
        <r>
          <rPr>
            <b/>
            <sz val="14"/>
            <rFont val="Calibri"/>
            <family val="2"/>
          </rPr>
          <t xml:space="preserve">True Altitude with </t>
        </r>
        <r>
          <rPr>
            <b/>
            <u val="single"/>
            <sz val="14"/>
            <rFont val="Calibri"/>
            <family val="2"/>
          </rPr>
          <t>four tables</t>
        </r>
        <r>
          <rPr>
            <sz val="14"/>
            <rFont val="Calibri"/>
            <family val="2"/>
          </rPr>
          <t xml:space="preserve">
= 17° − 3.2' − 7.9' + 0.1' + 15.8' = </t>
        </r>
        <r>
          <rPr>
            <b/>
            <u val="single"/>
            <sz val="14"/>
            <rFont val="Calibri"/>
            <family val="2"/>
          </rPr>
          <t>17° 04.8'</t>
        </r>
        <r>
          <rPr>
            <sz val="14"/>
            <rFont val="Calibri"/>
            <family val="2"/>
          </rPr>
          <t xml:space="preserve">
</t>
        </r>
        <r>
          <rPr>
            <b/>
            <sz val="14"/>
            <rFont val="Calibri"/>
            <family val="2"/>
          </rPr>
          <t xml:space="preserve">The same Example with </t>
        </r>
        <r>
          <rPr>
            <b/>
            <u val="single"/>
            <sz val="14"/>
            <rFont val="Calibri"/>
            <family val="2"/>
          </rPr>
          <t>two tables</t>
        </r>
        <r>
          <rPr>
            <sz val="14"/>
            <rFont val="Calibri"/>
            <family val="2"/>
          </rPr>
          <t xml:space="preserve"> ("Sun's Lower Limb" + "Month Corr.")
True Altitude = 17° + 5.1' (Corr.) − 0.2' (Month Corr.) = </t>
        </r>
        <r>
          <rPr>
            <b/>
            <u val="single"/>
            <sz val="14"/>
            <rFont val="Calibri"/>
            <family val="2"/>
          </rPr>
          <t>17° 04.9</t>
        </r>
        <r>
          <rPr>
            <sz val="14"/>
            <rFont val="Calibri"/>
            <family val="2"/>
          </rPr>
          <t xml:space="preserve">' </t>
        </r>
        <r>
          <rPr>
            <b/>
            <u val="single"/>
            <sz val="14"/>
            <rFont val="Calibri"/>
            <family val="2"/>
          </rPr>
          <t xml:space="preserve">
</t>
        </r>
        <r>
          <rPr>
            <b/>
            <sz val="18"/>
            <color indexed="17"/>
            <rFont val="Calibri"/>
            <family val="2"/>
          </rPr>
          <t>(Difference 0.1')</t>
        </r>
      </text>
    </comment>
  </commentList>
</comments>
</file>

<file path=xl/sharedStrings.xml><?xml version="1.0" encoding="utf-8"?>
<sst xmlns="http://schemas.openxmlformats.org/spreadsheetml/2006/main" count="878" uniqueCount="443">
  <si>
    <t>HO 249</t>
  </si>
  <si>
    <t>Vol. I</t>
  </si>
  <si>
    <t>Assumed Position</t>
  </si>
  <si>
    <t>Ambient</t>
  </si>
  <si>
    <t>Navigator:</t>
  </si>
  <si>
    <t>LAT:</t>
  </si>
  <si>
    <t>T:</t>
  </si>
  <si>
    <t>Height of the eye:</t>
  </si>
  <si>
    <t>lat</t>
  </si>
  <si>
    <t>LON:</t>
  </si>
  <si>
    <t>P:</t>
  </si>
  <si>
    <t>Index Error:</t>
  </si>
  <si>
    <t>lon</t>
  </si>
  <si>
    <t>Date (Local/UTC)</t>
  </si>
  <si>
    <t>Observation</t>
  </si>
  <si>
    <t>Voyage from/to:</t>
  </si>
  <si>
    <t>Local:</t>
  </si>
  <si>
    <t>Voyage No.</t>
  </si>
  <si>
    <t>UTC:</t>
  </si>
  <si>
    <t>Course/Speed:</t>
  </si>
  <si>
    <t>=</t>
  </si>
  <si>
    <t>Time Meridian</t>
  </si>
  <si>
    <t>"</t>
  </si>
  <si>
    <r>
      <t xml:space="preserve">GHA </t>
    </r>
    <r>
      <rPr>
        <sz val="10"/>
        <rFont val="Wingdings"/>
        <family val="0"/>
      </rPr>
      <t></t>
    </r>
  </si>
  <si>
    <t>Time Zone</t>
  </si>
  <si>
    <t>Increments</t>
  </si>
  <si>
    <t>Time of Readings (Local)</t>
  </si>
  <si>
    <r>
      <t xml:space="preserve">LHA </t>
    </r>
    <r>
      <rPr>
        <sz val="10"/>
        <rFont val="Wingdings"/>
        <family val="0"/>
      </rPr>
      <t></t>
    </r>
  </si>
  <si>
    <t>Table LAT:</t>
  </si>
  <si>
    <t>subrounded, to find pre-calculated celestial bodies in 
HO 249</t>
  </si>
  <si>
    <r>
      <t xml:space="preserve">Table Entries </t>
    </r>
    <r>
      <rPr>
        <sz val="12"/>
        <rFont val="Wingdings"/>
        <family val="0"/>
      </rPr>
      <t>^</t>
    </r>
    <r>
      <rPr>
        <sz val="12"/>
        <rFont val="Cambria"/>
        <family val="1"/>
      </rPr>
      <t>:</t>
    </r>
  </si>
  <si>
    <t>Pre-calculated</t>
  </si>
  <si>
    <t>Sextant readings</t>
  </si>
  <si>
    <t>Celestial body</t>
  </si>
  <si>
    <t>Hc</t>
  </si>
  <si>
    <t>Azimut</t>
  </si>
  <si>
    <t>Ho</t>
  </si>
  <si>
    <t>Time</t>
  </si>
  <si>
    <t xml:space="preserve">  Common Name</t>
  </si>
  <si>
    <t xml:space="preserve">   Bayer Name</t>
  </si>
  <si>
    <t>SHA</t>
  </si>
  <si>
    <t>DEC</t>
  </si>
  <si>
    <t>Acamar</t>
  </si>
  <si>
    <t xml:space="preserve">   θ Eridani</t>
  </si>
  <si>
    <t>SIRIUS</t>
  </si>
  <si>
    <t>Markab</t>
  </si>
  <si>
    <t>Polaris</t>
  </si>
  <si>
    <t>ACHERNAR</t>
  </si>
  <si>
    <t xml:space="preserve">   α Eridani</t>
  </si>
  <si>
    <t>CANOPUS</t>
  </si>
  <si>
    <t>FOMALHAUT</t>
  </si>
  <si>
    <t>Kochab</t>
  </si>
  <si>
    <t>ACRUX</t>
  </si>
  <si>
    <t xml:space="preserve">   α Crucis</t>
  </si>
  <si>
    <t>ARCTURUS</t>
  </si>
  <si>
    <t>Al Na'ir</t>
  </si>
  <si>
    <t>Dubhe</t>
  </si>
  <si>
    <t>ADHARA</t>
  </si>
  <si>
    <t xml:space="preserve">   ε Canis Major</t>
  </si>
  <si>
    <t>RIGIL KENT.</t>
  </si>
  <si>
    <t>Enif</t>
  </si>
  <si>
    <t>Schedar</t>
  </si>
  <si>
    <t>Aldebaran</t>
  </si>
  <si>
    <t xml:space="preserve">    α Tauri </t>
  </si>
  <si>
    <t>VEGA</t>
  </si>
  <si>
    <t>DENEB</t>
  </si>
  <si>
    <t>ALIOTH</t>
  </si>
  <si>
    <t xml:space="preserve">    ε Ursae Majoris </t>
  </si>
  <si>
    <t>RIGEL</t>
  </si>
  <si>
    <t>Peacock</t>
  </si>
  <si>
    <t>Eltanin</t>
  </si>
  <si>
    <t>Alkaid</t>
  </si>
  <si>
    <t xml:space="preserve">   η Ursae Majoris </t>
  </si>
  <si>
    <t>PROCYON</t>
  </si>
  <si>
    <t>ALTAIR</t>
  </si>
  <si>
    <t>Mirfak</t>
  </si>
  <si>
    <t xml:space="preserve">   α Gruis </t>
  </si>
  <si>
    <t>Nunki</t>
  </si>
  <si>
    <t>Alnilam</t>
  </si>
  <si>
    <t xml:space="preserve">   ε Orionis</t>
  </si>
  <si>
    <t>BETELGEUSE</t>
  </si>
  <si>
    <t>CAPELLA</t>
  </si>
  <si>
    <t>Alphard</t>
  </si>
  <si>
    <t xml:space="preserve">   α Hydrae</t>
  </si>
  <si>
    <t>HADAR</t>
  </si>
  <si>
    <t>Kaus Aust.</t>
  </si>
  <si>
    <t>Alphecca</t>
  </si>
  <si>
    <t xml:space="preserve">   α Coronae Borealis</t>
  </si>
  <si>
    <t>Alpheratz</t>
  </si>
  <si>
    <t xml:space="preserve">   α Andromedae </t>
  </si>
  <si>
    <t>Rasalhague</t>
  </si>
  <si>
    <t xml:space="preserve">   α Aquilae</t>
  </si>
  <si>
    <t>Shaula</t>
  </si>
  <si>
    <t>Elnath</t>
  </si>
  <si>
    <t>Ankaa</t>
  </si>
  <si>
    <t xml:space="preserve">   α Phoenicis</t>
  </si>
  <si>
    <t>SPICA</t>
  </si>
  <si>
    <t>Sabik</t>
  </si>
  <si>
    <t>POLLUX</t>
  </si>
  <si>
    <t>ANTARES</t>
  </si>
  <si>
    <t xml:space="preserve">   α Scorpii</t>
  </si>
  <si>
    <t>Atria</t>
  </si>
  <si>
    <t xml:space="preserve">   α Boötis</t>
  </si>
  <si>
    <t>Hamal</t>
  </si>
  <si>
    <t xml:space="preserve">   α Trianguli Australis </t>
  </si>
  <si>
    <t>Avior</t>
  </si>
  <si>
    <t xml:space="preserve">   ε Carinae</t>
  </si>
  <si>
    <t>Bellatrix</t>
  </si>
  <si>
    <t xml:space="preserve">   γ Orionis</t>
  </si>
  <si>
    <t>REGULUS</t>
  </si>
  <si>
    <t>Zuben'ubi</t>
  </si>
  <si>
    <t xml:space="preserve">   α Orionis</t>
  </si>
  <si>
    <t>Denebola</t>
  </si>
  <si>
    <t xml:space="preserve">   α Carinae</t>
  </si>
  <si>
    <t xml:space="preserve">   α Aurigae</t>
  </si>
  <si>
    <t>Menkent</t>
  </si>
  <si>
    <t xml:space="preserve">   α Cygni</t>
  </si>
  <si>
    <t>Gacrux</t>
  </si>
  <si>
    <t xml:space="preserve">   β Leonis</t>
  </si>
  <si>
    <t>Diphda</t>
  </si>
  <si>
    <t xml:space="preserve">   β Ceti</t>
  </si>
  <si>
    <t xml:space="preserve">   α Ursae Majoris</t>
  </si>
  <si>
    <t xml:space="preserve">   β Tauri</t>
  </si>
  <si>
    <t xml:space="preserve">   γ Draconis</t>
  </si>
  <si>
    <t>Menkar</t>
  </si>
  <si>
    <t xml:space="preserve">   ε Pegasi</t>
  </si>
  <si>
    <t>Miaplacidus</t>
  </si>
  <si>
    <t>Gienah</t>
  </si>
  <si>
    <t xml:space="preserve">   α Piscis Austrini</t>
  </si>
  <si>
    <t xml:space="preserve">   γ Crucis</t>
  </si>
  <si>
    <t xml:space="preserve">   ε Cygni</t>
  </si>
  <si>
    <t xml:space="preserve">   β Centauri</t>
  </si>
  <si>
    <t xml:space="preserve">   α Arietis</t>
  </si>
  <si>
    <t xml:space="preserve">   ε Sagittarii</t>
  </si>
  <si>
    <t>Suhail</t>
  </si>
  <si>
    <t xml:space="preserve">   β Ursae Minoris</t>
  </si>
  <si>
    <t xml:space="preserve">   α Pegasi</t>
  </si>
  <si>
    <t xml:space="preserve">   α Ceti</t>
  </si>
  <si>
    <t xml:space="preserve">   θ Centauri</t>
  </si>
  <si>
    <t xml:space="preserve">   β Carinae</t>
  </si>
  <si>
    <t xml:space="preserve">   α Persei</t>
  </si>
  <si>
    <t xml:space="preserve">   σ   Sagittarii</t>
  </si>
  <si>
    <t xml:space="preserve">   α Pavonis</t>
  </si>
  <si>
    <t xml:space="preserve">   α Ursae Minoris</t>
  </si>
  <si>
    <t xml:space="preserve">   β Geminorum</t>
  </si>
  <si>
    <t xml:space="preserve">   α Canis Minoris</t>
  </si>
  <si>
    <t xml:space="preserve">   α Ophiuchi</t>
  </si>
  <si>
    <t xml:space="preserve">   α Leonis</t>
  </si>
  <si>
    <t xml:space="preserve">   β Orionis</t>
  </si>
  <si>
    <t xml:space="preserve">   α Centauri</t>
  </si>
  <si>
    <t xml:space="preserve">   η Ophiuchi</t>
  </si>
  <si>
    <t xml:space="preserve">   α Cassiopeiae</t>
  </si>
  <si>
    <t xml:space="preserve">   λ Scorpii</t>
  </si>
  <si>
    <t xml:space="preserve">   α Canis Majoris</t>
  </si>
  <si>
    <t xml:space="preserve">   α Virginis</t>
  </si>
  <si>
    <t xml:space="preserve">   λ Velorum</t>
  </si>
  <si>
    <t xml:space="preserve">   α Lyrae</t>
  </si>
  <si>
    <t xml:space="preserve">   α Librae</t>
  </si>
  <si>
    <t>TZ:</t>
  </si>
  <si>
    <t>Sun:</t>
  </si>
  <si>
    <t>Observation Time (UTC)</t>
  </si>
  <si>
    <t>jd of obs time (UTC)</t>
  </si>
  <si>
    <t>Civil Starts</t>
  </si>
  <si>
    <t>Civil Ends</t>
  </si>
  <si>
    <t>jd of obs time (UTC):hr</t>
  </si>
  <si>
    <t>Aries at Obs time:hr</t>
  </si>
  <si>
    <t>incrtements</t>
  </si>
  <si>
    <t>LON (E+/W-)</t>
  </si>
  <si>
    <t>time zone</t>
  </si>
  <si>
    <t>X</t>
  </si>
  <si>
    <t>E</t>
  </si>
  <si>
    <t></t>
  </si>
  <si>
    <t>To select the best combination acc. HO 249, Vol. 1 - Tick the boxes of the appropriate stars</t>
  </si>
  <si>
    <t>Pre-Calculation Form
Altitudes and Azimuts for Celestial Observation</t>
  </si>
  <si>
    <t>Sunrise/-set (Local)</t>
  </si>
  <si>
    <t>Sunrise/-set (UTC), (visible)</t>
  </si>
  <si>
    <t>Cilvil Twilight (Ends)/(Starts)</t>
  </si>
  <si>
    <t>Time Zone:</t>
  </si>
  <si>
    <t>Celestial Body:</t>
  </si>
  <si>
    <t>Date and Time of Fix:</t>
  </si>
  <si>
    <t>Increments Min/Sec.:</t>
  </si>
  <si>
    <t>Seridial Hour Angle:</t>
  </si>
  <si>
    <t>Greenwich Hour Angle:</t>
  </si>
  <si>
    <t>Local Hour Angle:</t>
  </si>
  <si>
    <t>Temperature/Pressure:</t>
  </si>
  <si>
    <t>Observation Time (UTC):</t>
  </si>
  <si>
    <t>Year</t>
  </si>
  <si>
    <t>Jan. 01</t>
  </si>
  <si>
    <t>Feb. 1</t>
  </si>
  <si>
    <t>Mar. 1</t>
  </si>
  <si>
    <t>May 1</t>
  </si>
  <si>
    <t>June 1</t>
  </si>
  <si>
    <t>July 1</t>
  </si>
  <si>
    <t>Aug. 1</t>
  </si>
  <si>
    <t>Sept. 1</t>
  </si>
  <si>
    <t>Oct. 1</t>
  </si>
  <si>
    <t>Nov. 1</t>
  </si>
  <si>
    <t>Dec. 1</t>
  </si>
  <si>
    <r>
      <t xml:space="preserve">TABLE 4 - GHA </t>
    </r>
    <r>
      <rPr>
        <b/>
        <sz val="20"/>
        <color indexed="8"/>
        <rFont val="Wingdings"/>
        <family val="0"/>
      </rPr>
      <t>^</t>
    </r>
    <r>
      <rPr>
        <b/>
        <sz val="20"/>
        <color indexed="8"/>
        <rFont val="Calibri"/>
        <family val="2"/>
      </rPr>
      <t xml:space="preserve"> FOR THE YEARS 2001 - 2009</t>
    </r>
  </si>
  <si>
    <r>
      <t xml:space="preserve">a. GHA </t>
    </r>
    <r>
      <rPr>
        <sz val="14"/>
        <color indexed="8"/>
        <rFont val="Wingdings"/>
        <family val="0"/>
      </rPr>
      <t>^</t>
    </r>
    <r>
      <rPr>
        <sz val="14"/>
        <color indexed="8"/>
        <rFont val="Calibri"/>
        <family val="2"/>
      </rPr>
      <t xml:space="preserve"> AT 00</t>
    </r>
    <r>
      <rPr>
        <sz val="10"/>
        <color indexed="8"/>
        <rFont val="Calibri"/>
        <family val="2"/>
      </rPr>
      <t>h</t>
    </r>
    <r>
      <rPr>
        <sz val="14"/>
        <color indexed="8"/>
        <rFont val="Calibri"/>
        <family val="2"/>
      </rPr>
      <t xml:space="preserve"> ON THE FIRST DAY OF EACH MONTH</t>
    </r>
  </si>
  <si>
    <t>°</t>
  </si>
  <si>
    <t>'</t>
  </si>
  <si>
    <t>Apr. 1</t>
  </si>
  <si>
    <r>
      <t xml:space="preserve">b. INCREMEMT OF GHA </t>
    </r>
    <r>
      <rPr>
        <sz val="14"/>
        <color indexed="8"/>
        <rFont val="Wingdings"/>
        <family val="0"/>
      </rPr>
      <t>^</t>
    </r>
    <r>
      <rPr>
        <sz val="14"/>
        <color indexed="8"/>
        <rFont val="Calibri"/>
        <family val="2"/>
      </rPr>
      <t xml:space="preserve"> FOR DAYS AND HOURS</t>
    </r>
  </si>
  <si>
    <t>Day</t>
  </si>
  <si>
    <t>h</t>
  </si>
  <si>
    <t>m</t>
  </si>
  <si>
    <t>s</t>
  </si>
  <si>
    <r>
      <t xml:space="preserve">c. INCREMENT OF GHA </t>
    </r>
    <r>
      <rPr>
        <sz val="14"/>
        <color indexed="8"/>
        <rFont val="Wingdings"/>
        <family val="0"/>
      </rPr>
      <t>^</t>
    </r>
    <r>
      <rPr>
        <sz val="14"/>
        <color indexed="8"/>
        <rFont val="Calibri"/>
        <family val="2"/>
      </rPr>
      <t xml:space="preserve"> FOR MINUTES AND SECONDS</t>
    </r>
  </si>
  <si>
    <r>
      <t>Example. The value of GHA</t>
    </r>
    <r>
      <rPr>
        <i/>
        <sz val="16"/>
        <color indexed="8"/>
        <rFont val="Wingdings"/>
        <family val="0"/>
      </rPr>
      <t>^</t>
    </r>
    <r>
      <rPr>
        <i/>
        <sz val="16"/>
        <color indexed="8"/>
        <rFont val="Calibri"/>
        <family val="2"/>
      </rPr>
      <t xml:space="preserve"> for 2004 June 16 at 21h 33m 07s UT is (a) 249° 49' + (b) 330° 39' + (c) 8° 18' = 228° 46'.</t>
    </r>
  </si>
  <si>
    <t>kts</t>
  </si>
  <si>
    <t>° T</t>
  </si>
  <si>
    <t>Assumed Latitude:</t>
  </si>
  <si>
    <t>Assumed Longitude:</t>
  </si>
  <si>
    <t>Sun LL</t>
  </si>
  <si>
    <t>Sextant Altitude (Hs):</t>
  </si>
  <si>
    <t>v Correction:</t>
  </si>
  <si>
    <t>d Correction:</t>
  </si>
  <si>
    <t>True Azimut (Zn)</t>
  </si>
  <si>
    <t>Obtained Latitude:</t>
  </si>
  <si>
    <t>Obtained Longitude:</t>
  </si>
  <si>
    <t>Drift:</t>
  </si>
  <si>
    <t>Local Time of Fix</t>
  </si>
  <si>
    <t>Sun UL</t>
  </si>
  <si>
    <t>Moon LL</t>
  </si>
  <si>
    <t>Moon UL</t>
  </si>
  <si>
    <t>Venus</t>
  </si>
  <si>
    <t>Mars</t>
  </si>
  <si>
    <t>Jupiter</t>
  </si>
  <si>
    <t>Saturn</t>
  </si>
  <si>
    <t>Alderamin</t>
  </si>
  <si>
    <t xml:space="preserve">   α Cephei</t>
  </si>
  <si>
    <t>Assumed Lat</t>
  </si>
  <si>
    <t>Assumed Lon</t>
  </si>
  <si>
    <t>Hs</t>
  </si>
  <si>
    <t>IE</t>
  </si>
  <si>
    <t>DIP</t>
  </si>
  <si>
    <t>Ha</t>
  </si>
  <si>
    <t>Ro</t>
  </si>
  <si>
    <t>P</t>
  </si>
  <si>
    <t>LL/UL</t>
  </si>
  <si>
    <r>
      <rPr>
        <sz val="12"/>
        <rFont val="Symbol"/>
        <family val="1"/>
      </rPr>
      <t>D</t>
    </r>
    <r>
      <rPr>
        <sz val="12"/>
        <rFont val="Cambria"/>
        <family val="1"/>
      </rPr>
      <t>H</t>
    </r>
  </si>
  <si>
    <t>GHA</t>
  </si>
  <si>
    <t>min,sec</t>
  </si>
  <si>
    <t>v</t>
  </si>
  <si>
    <t>LON</t>
  </si>
  <si>
    <t>LHA</t>
  </si>
  <si>
    <t>Summe</t>
  </si>
  <si>
    <t>A</t>
  </si>
  <si>
    <t>B</t>
  </si>
  <si>
    <t>C</t>
  </si>
  <si>
    <t>D</t>
  </si>
  <si>
    <t>G</t>
  </si>
  <si>
    <t>LAT</t>
  </si>
  <si>
    <t>Course</t>
  </si>
  <si>
    <t>Distance</t>
  </si>
  <si>
    <t>b</t>
  </si>
  <si>
    <t>l</t>
  </si>
  <si>
    <t>α</t>
  </si>
  <si>
    <t>ΔΦ</t>
  </si>
  <si>
    <t>d</t>
  </si>
  <si>
    <t>mx</t>
  </si>
  <si>
    <t>Linienlänge</t>
  </si>
  <si>
    <t>x</t>
  </si>
  <si>
    <t>f(x-Az1)</t>
  </si>
  <si>
    <t>f(x-Az2)</t>
  </si>
  <si>
    <t>zoom</t>
  </si>
  <si>
    <t>f(x-BV)</t>
  </si>
  <si>
    <t>Bv</t>
  </si>
  <si>
    <t>f(x-D)</t>
  </si>
  <si>
    <t>A1</t>
  </si>
  <si>
    <t>B1</t>
  </si>
  <si>
    <t>B2</t>
  </si>
  <si>
    <t>L1</t>
  </si>
  <si>
    <t>L2</t>
  </si>
  <si>
    <t>Dj</t>
  </si>
  <si>
    <t>Dw</t>
  </si>
  <si>
    <t>d Lat</t>
  </si>
  <si>
    <t>d Long</t>
  </si>
  <si>
    <t>Obs Lat</t>
  </si>
  <si>
    <t>Obs Long</t>
  </si>
  <si>
    <t>f(x-Star 1)</t>
  </si>
  <si>
    <t>f(x-Star 2)</t>
  </si>
  <si>
    <t>Scale</t>
  </si>
  <si>
    <t>Plot time and date:</t>
  </si>
  <si>
    <t>Border</t>
  </si>
  <si>
    <t>Obtained Position:</t>
  </si>
  <si>
    <t>Gravity of Error Triangle</t>
  </si>
  <si>
    <t>intersection L1/L2</t>
  </si>
  <si>
    <t>x=</t>
  </si>
  <si>
    <t>y=</t>
  </si>
  <si>
    <t>intersection L2/L3</t>
  </si>
  <si>
    <t>intersection L3/L1</t>
  </si>
  <si>
    <t>XG=</t>
  </si>
  <si>
    <t>YG=</t>
  </si>
  <si>
    <t>Angle</t>
  </si>
  <si>
    <t>Obtained Position</t>
  </si>
  <si>
    <t>Lat</t>
  </si>
  <si>
    <t>Lon</t>
  </si>
  <si>
    <t>Drift</t>
  </si>
  <si>
    <t>Dist</t>
  </si>
  <si>
    <t>A-G</t>
  </si>
  <si>
    <t>ABBLL</t>
  </si>
  <si>
    <t>Error T</t>
  </si>
  <si>
    <t>Astrnomical Guide</t>
  </si>
  <si>
    <t>A1, B1, L1 and L2</t>
  </si>
  <si>
    <t>CoG of Error Triangle</t>
  </si>
  <si>
    <t>Lines of Position:</t>
  </si>
  <si>
    <t>MPP based on ...</t>
  </si>
  <si>
    <t>3 LoPs</t>
  </si>
  <si>
    <t>LoP 1</t>
  </si>
  <si>
    <t>LoP 2</t>
  </si>
  <si>
    <t>LoP 3</t>
  </si>
  <si>
    <t>f(x-LoP1)</t>
  </si>
  <si>
    <t>f(x-LoP2)</t>
  </si>
  <si>
    <t>2 LoPs</t>
  </si>
  <si>
    <t>for 2 LoPs</t>
  </si>
  <si>
    <t>LAT/LON</t>
  </si>
  <si>
    <t>Intersection for 2 LoPs</t>
  </si>
  <si>
    <t xml:space="preserve"> BV</t>
  </si>
  <si>
    <t>Refraction at a standard temperature of 10° Celsius and pressure of 1010 Millibars</t>
  </si>
  <si>
    <t>Altitude correction Tables revised by Captain Dr, Ivica Tijardovic by means of equations from Nautical Almanac</t>
  </si>
  <si>
    <r>
      <rPr>
        <b/>
        <sz val="12"/>
        <color indexed="8"/>
        <rFont val="Calibri"/>
        <family val="2"/>
      </rPr>
      <t>Refraction (Ro)</t>
    </r>
    <r>
      <rPr>
        <sz val="12"/>
        <color theme="1"/>
        <rFont val="Calibri"/>
        <family val="2"/>
      </rPr>
      <t xml:space="preserve"> = </t>
    </r>
    <r>
      <rPr>
        <i/>
        <sz val="12"/>
        <color indexed="8"/>
        <rFont val="Calibri"/>
        <family val="2"/>
      </rPr>
      <t>1.002 ÷ tan(H + (7.31 ÷ (H + 4.4)))</t>
    </r>
  </si>
  <si>
    <t>H</t>
  </si>
  <si>
    <t>Your Sextand Reading</t>
  </si>
  <si>
    <t>Your height of the eye</t>
  </si>
  <si>
    <t>Your height of the eye and distance from shore</t>
  </si>
  <si>
    <t>Example</t>
  </si>
  <si>
    <t>M</t>
  </si>
  <si>
    <r>
      <rPr>
        <b/>
        <sz val="12"/>
        <color indexed="8"/>
        <rFont val="Calibri"/>
        <family val="2"/>
      </rPr>
      <t>DIP OF SEA HORIZON</t>
    </r>
    <r>
      <rPr>
        <sz val="12"/>
        <color theme="1"/>
        <rFont val="Calibri"/>
        <family val="2"/>
      </rPr>
      <t xml:space="preserve">   </t>
    </r>
    <r>
      <rPr>
        <i/>
        <sz val="12"/>
        <color indexed="8"/>
        <rFont val="Calibri"/>
        <family val="2"/>
      </rPr>
      <t>(DIP = 1.758 × √h)</t>
    </r>
  </si>
  <si>
    <r>
      <rPr>
        <i/>
        <sz val="12"/>
        <color indexed="8"/>
        <rFont val="Calibri"/>
        <family val="2"/>
      </rPr>
      <t>(DIP = 1.855 × (h ÷ d) + 0.42 × d)</t>
    </r>
    <r>
      <rPr>
        <b/>
        <sz val="12"/>
        <color indexed="8"/>
        <rFont val="Calibri"/>
        <family val="2"/>
      </rPr>
      <t xml:space="preserve">   DIP OF SHORE HORIZON</t>
    </r>
  </si>
  <si>
    <t>h − height of eye in metres</t>
  </si>
  <si>
    <r>
      <rPr>
        <b/>
        <i/>
        <sz val="12"/>
        <color indexed="8"/>
        <rFont val="Calibri"/>
        <family val="2"/>
      </rPr>
      <t>d − distance from shore in miles</t>
    </r>
    <r>
      <rPr>
        <i/>
        <sz val="12"/>
        <color indexed="8"/>
        <rFont val="Calibri"/>
        <family val="2"/>
      </rPr>
      <t xml:space="preserve">     h − height of eye in metres</t>
    </r>
  </si>
  <si>
    <t>DIP'</t>
  </si>
  <si>
    <t>Miles</t>
  </si>
  <si>
    <t>Apparent Altitude (H)</t>
  </si>
  <si>
    <r>
      <rPr>
        <b/>
        <sz val="12"/>
        <color indexed="8"/>
        <rFont val="Calibri"/>
        <family val="2"/>
      </rPr>
      <t>Sun's Parallax in Altitude (PA)</t>
    </r>
    <r>
      <rPr>
        <sz val="12"/>
        <color theme="1"/>
        <rFont val="Calibri"/>
        <family val="2"/>
      </rPr>
      <t xml:space="preserve"> = </t>
    </r>
    <r>
      <rPr>
        <i/>
        <sz val="12"/>
        <color indexed="8"/>
        <rFont val="Calibri"/>
        <family val="2"/>
      </rPr>
      <t>0.144 × cos(H)</t>
    </r>
  </si>
  <si>
    <t>Month</t>
  </si>
  <si>
    <t>JAN.</t>
  </si>
  <si>
    <t>FEB.</t>
  </si>
  <si>
    <t>MAR.</t>
  </si>
  <si>
    <t>APR.</t>
  </si>
  <si>
    <t>MAY</t>
  </si>
  <si>
    <t>JUNE</t>
  </si>
  <si>
    <t>JULY</t>
  </si>
  <si>
    <t>AUG</t>
  </si>
  <si>
    <t>SEPT.</t>
  </si>
  <si>
    <t>OCT.</t>
  </si>
  <si>
    <t>NOV.</t>
  </si>
  <si>
    <t>DEZ.</t>
  </si>
  <si>
    <t>Sun's Semi-Diameter (SD)</t>
  </si>
  <si>
    <t>For Correction the Sextant Altitude of the Sun's Lower Limb</t>
  </si>
  <si>
    <t>Correction = 16' − 1.758 × √h − (1.002 ÷ tan(H + (7.31 ÷ (H + 4.4)))) + 0.144 × cos(H)</t>
  </si>
  <si>
    <t>Index Error</t>
  </si>
  <si>
    <t>On Arc is (−)</t>
  </si>
  <si>
    <t>True Altitude = Sextant Altitude ± Index Error ± Correction ± Month Correction</t>
  </si>
  <si>
    <t>Off Arc is (+)</t>
  </si>
  <si>
    <t>height of exe in metres</t>
  </si>
  <si>
    <t>Altitude</t>
  </si>
  <si>
    <t>Correction</t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</si>
  <si>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</si>
  <si>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</si>
  <si>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</si>
  <si>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</si>
  <si>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</si>
  <si>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</si>
  <si>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</si>
  <si>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</si>
  <si>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</si>
  <si>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</si>
  <si>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</si>
  <si>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Dez.</t>
  </si>
  <si>
    <t>Corr.</t>
  </si>
  <si>
    <t>+0.3'</t>
  </si>
  <si>
    <t>+0.2'</t>
  </si>
  <si>
    <t>+0.1'</t>
  </si>
  <si>
    <t>0.0'</t>
  </si>
  <si>
    <t>-0.2'</t>
  </si>
  <si>
    <t>-0.1'</t>
  </si>
  <si>
    <t>INCREMENTS and CORRECTIONS</t>
  </si>
  <si>
    <t>S</t>
  </si>
  <si>
    <t>SUN</t>
  </si>
  <si>
    <t>PLANETS</t>
  </si>
  <si>
    <t>ARIES</t>
  </si>
  <si>
    <t>MOON</t>
  </si>
  <si>
    <t>v
or
d</t>
  </si>
  <si>
    <t>Corr</t>
  </si>
  <si>
    <t>Increment of GHA</t>
  </si>
  <si>
    <t>For Correcting the Sextant Altitude of a Fixed Star to find the True Altitude</t>
  </si>
  <si>
    <t>height of eye in metres</t>
  </si>
  <si>
    <t>CORRECTION</t>
  </si>
  <si>
    <t>EXAMPLE:</t>
  </si>
  <si>
    <t>Star's Sextant Altitude Corrected for Index Error is 30° 09', height of eye is 14 m. True Altitude = 30° 09' − 8.3' = 30° 00.7'</t>
  </si>
  <si>
    <r>
      <rPr>
        <b/>
        <sz val="12"/>
        <color indexed="8"/>
        <rFont val="Calibri"/>
        <family val="2"/>
      </rPr>
      <t>True Altitude</t>
    </r>
    <r>
      <rPr>
        <sz val="12"/>
        <color theme="1"/>
        <rFont val="Calibri"/>
        <family val="2"/>
      </rPr>
      <t xml:space="preserve"> = Sextant Altitude ± Index Error − Correction</t>
    </r>
  </si>
  <si>
    <r>
      <rPr>
        <b/>
        <sz val="12"/>
        <color indexed="8"/>
        <rFont val="Calibri"/>
        <family val="2"/>
      </rPr>
      <t>Apparent Altitude (H)</t>
    </r>
    <r>
      <rPr>
        <sz val="12"/>
        <color theme="1"/>
        <rFont val="Calibri"/>
        <family val="2"/>
      </rPr>
      <t xml:space="preserve"> = </t>
    </r>
    <r>
      <rPr>
        <i/>
        <sz val="12"/>
        <color indexed="8"/>
        <rFont val="Calibri"/>
        <family val="2"/>
      </rPr>
      <t>Sextant Altitude ± Index Error − DIP</t>
    </r>
  </si>
  <si>
    <r>
      <t xml:space="preserve">Correction = </t>
    </r>
    <r>
      <rPr>
        <i/>
        <sz val="12"/>
        <color indexed="8"/>
        <rFont val="Calibri"/>
        <family val="2"/>
      </rPr>
      <t>1.758 × √h + (1.002 ÷ tan(H + (7.31 ÷ (H + 4.4))))</t>
    </r>
  </si>
  <si>
    <t>App.
Alt.</t>
  </si>
  <si>
    <t>Moon'S Horizontal Parallax</t>
  </si>
  <si>
    <t>Moon's Parallax in Altitude in Arc Minutes</t>
  </si>
  <si>
    <t>Moon's Semi-Diameter</t>
  </si>
  <si>
    <t>Augmentation of the Moon's Semi-Diameter in Arc Seconds</t>
  </si>
  <si>
    <t>m.</t>
  </si>
  <si>
    <t>Diff. Of Meridian Passage</t>
  </si>
  <si>
    <t>LONGITUDE EAST - Substract.         WEST - Add.</t>
  </si>
  <si>
    <t>Correction for Finding Greenwich Date of Moon Meridian Passage</t>
  </si>
  <si>
    <t>Correction for the Moon's Upper and Lower Limb</t>
  </si>
  <si>
    <t>HP</t>
  </si>
  <si>
    <t>Correction for the Moon's Lower Limb</t>
  </si>
  <si>
    <t>Correction for the Moon's Upper Limb</t>
  </si>
  <si>
    <t>+ Lower Limb, − Upper Limb</t>
  </si>
  <si>
    <r>
      <t xml:space="preserve">Correction = HP × cos H − (1.002 ÷ tan(H + (7.31 ÷ (H + 4.4)))) − 0.102 × cos H </t>
    </r>
  </si>
  <si>
    <r>
      <rPr>
        <b/>
        <sz val="12"/>
        <color indexed="10"/>
        <rFont val="Calibri"/>
        <family val="2"/>
      </rPr>
      <t>±</t>
    </r>
    <r>
      <rPr>
        <sz val="12"/>
        <color theme="1"/>
        <rFont val="Calibri"/>
        <family val="2"/>
      </rPr>
      <t xml:space="preserve"> 0.2724 × HP</t>
    </r>
  </si>
  <si>
    <t>Example:</t>
  </si>
  <si>
    <t>Find the Altitude of the Moon if the Sextant Altitude of the Lower Limb is 33° 29', Sextant Index Error is 2' off the arc (+).</t>
  </si>
  <si>
    <t>Height of the Eye (h) above the horizon is 20 m, Horizontal Parallax (HP) for the time of observation is 59,1'.</t>
  </si>
  <si>
    <t>From the upper left table, with Altitude (33° 29') and HP (59,1'), find out the Correction --&gt; 63,8' = 1° 03,8'</t>
  </si>
  <si>
    <r>
      <rPr>
        <b/>
        <sz val="12"/>
        <color indexed="8"/>
        <rFont val="Calibri"/>
        <family val="2"/>
      </rPr>
      <t>True Altitude = Sextant Altitude ± Index Error − DIP of the Sea Horizon ± Correction</t>
    </r>
    <r>
      <rPr>
        <sz val="12"/>
        <color theme="1"/>
        <rFont val="Calibri"/>
        <family val="2"/>
      </rPr>
      <t xml:space="preserve"> = 33° 29' + 0° 02' − 0° 07.9' + 1° 03.8' = </t>
    </r>
    <r>
      <rPr>
        <b/>
        <sz val="12"/>
        <color indexed="8"/>
        <rFont val="Calibri"/>
        <family val="2"/>
      </rPr>
      <t>34° 26.9'</t>
    </r>
  </si>
  <si>
    <t>L1/L2</t>
  </si>
  <si>
    <t>L2/L3</t>
  </si>
  <si>
    <t>L3/L1</t>
  </si>
  <si>
    <t>CoG of the Error triangle</t>
  </si>
  <si>
    <t>Celestial Observation Plotting Sheet</t>
  </si>
  <si>
    <t>Calculation Form for Celestial Observation</t>
  </si>
  <si>
    <t>◊</t>
  </si>
  <si>
    <r>
      <rPr>
        <b/>
        <sz val="11"/>
        <rFont val="Cambria"/>
        <family val="1"/>
      </rPr>
      <t>±</t>
    </r>
    <r>
      <rPr>
        <b/>
        <i/>
        <sz val="11"/>
        <rFont val="Cambria"/>
        <family val="1"/>
      </rPr>
      <t xml:space="preserve"> Index Error (IE):</t>
    </r>
  </si>
  <si>
    <r>
      <rPr>
        <b/>
        <sz val="11"/>
        <rFont val="Cambria"/>
        <family val="1"/>
      </rPr>
      <t>−</t>
    </r>
    <r>
      <rPr>
        <b/>
        <i/>
        <sz val="11"/>
        <rFont val="Cambria"/>
        <family val="1"/>
      </rPr>
      <t xml:space="preserve"> Main Correction:</t>
    </r>
  </si>
  <si>
    <r>
      <rPr>
        <b/>
        <sz val="11"/>
        <rFont val="Cambria"/>
        <family val="1"/>
      </rPr>
      <t>=</t>
    </r>
    <r>
      <rPr>
        <b/>
        <i/>
        <sz val="11"/>
        <rFont val="Cambria"/>
        <family val="1"/>
      </rPr>
      <t xml:space="preserve"> Apparent Altitude (Ha):</t>
    </r>
  </si>
  <si>
    <r>
      <rPr>
        <b/>
        <sz val="11"/>
        <rFont val="Cambria"/>
        <family val="1"/>
      </rPr>
      <t>−</t>
    </r>
    <r>
      <rPr>
        <b/>
        <i/>
        <sz val="11"/>
        <rFont val="Cambria"/>
        <family val="1"/>
      </rPr>
      <t xml:space="preserve"> Refraction (Ro):</t>
    </r>
  </si>
  <si>
    <r>
      <rPr>
        <b/>
        <sz val="11"/>
        <rFont val="Cambria"/>
        <family val="1"/>
      </rPr>
      <t>+</t>
    </r>
    <r>
      <rPr>
        <b/>
        <i/>
        <sz val="11"/>
        <rFont val="Cambria"/>
        <family val="1"/>
      </rPr>
      <t xml:space="preserve"> Parallaxe (P) S/M/P</t>
    </r>
    <r>
      <rPr>
        <b/>
        <i/>
        <sz val="11"/>
        <rFont val="Cambria"/>
        <family val="1"/>
      </rPr>
      <t>:</t>
    </r>
  </si>
  <si>
    <r>
      <rPr>
        <b/>
        <sz val="11"/>
        <rFont val="Cambria"/>
        <family val="1"/>
      </rPr>
      <t>±</t>
    </r>
    <r>
      <rPr>
        <b/>
        <i/>
        <sz val="11"/>
        <rFont val="Cambria"/>
        <family val="1"/>
      </rPr>
      <t xml:space="preserve"> LL/UL Sun (SD):</t>
    </r>
  </si>
  <si>
    <r>
      <rPr>
        <b/>
        <sz val="11"/>
        <rFont val="Cambria"/>
        <family val="1"/>
      </rPr>
      <t>=</t>
    </r>
    <r>
      <rPr>
        <b/>
        <i/>
        <sz val="11"/>
        <rFont val="Cambria"/>
        <family val="1"/>
      </rPr>
      <t xml:space="preserve"> Observed Altitude (Ho):</t>
    </r>
  </si>
  <si>
    <r>
      <rPr>
        <b/>
        <sz val="11"/>
        <rFont val="Cambria"/>
        <family val="1"/>
      </rPr>
      <t>−</t>
    </r>
    <r>
      <rPr>
        <b/>
        <i/>
        <sz val="11"/>
        <rFont val="Cambria"/>
        <family val="1"/>
      </rPr>
      <t xml:space="preserve"> Computed Altitude (Hc):</t>
    </r>
  </si>
  <si>
    <r>
      <rPr>
        <b/>
        <sz val="11"/>
        <rFont val="Cambria"/>
        <family val="1"/>
      </rPr>
      <t>=</t>
    </r>
    <r>
      <rPr>
        <b/>
        <i/>
        <sz val="11"/>
        <rFont val="Cambria"/>
        <family val="1"/>
      </rPr>
      <t xml:space="preserve"> Altitude Difference (</t>
    </r>
    <r>
      <rPr>
        <b/>
        <i/>
        <sz val="11"/>
        <rFont val="Symbol"/>
        <family val="1"/>
      </rPr>
      <t>D</t>
    </r>
    <r>
      <rPr>
        <b/>
        <i/>
        <sz val="11"/>
        <rFont val="Cambria"/>
        <family val="1"/>
      </rPr>
      <t>H):</t>
    </r>
  </si>
  <si>
    <r>
      <rPr>
        <b/>
        <sz val="11"/>
        <rFont val="Symbol"/>
        <family val="1"/>
      </rPr>
      <t>D</t>
    </r>
    <r>
      <rPr>
        <b/>
        <sz val="11"/>
        <rFont val="Cambria"/>
        <family val="1"/>
      </rPr>
      <t>H</t>
    </r>
    <r>
      <rPr>
        <b/>
        <i/>
        <sz val="11"/>
        <rFont val="Cambria"/>
        <family val="1"/>
      </rPr>
      <t xml:space="preserve"> (</t>
    </r>
    <r>
      <rPr>
        <b/>
        <sz val="11"/>
        <rFont val="Cambria"/>
        <family val="1"/>
      </rPr>
      <t>+</t>
    </r>
    <r>
      <rPr>
        <b/>
        <i/>
        <sz val="11"/>
        <rFont val="Cambria"/>
        <family val="1"/>
      </rPr>
      <t xml:space="preserve"> towards/</t>
    </r>
    <r>
      <rPr>
        <b/>
        <sz val="11"/>
        <rFont val="Cambria"/>
        <family val="1"/>
      </rPr>
      <t>−</t>
    </r>
    <r>
      <rPr>
        <b/>
        <i/>
        <sz val="11"/>
        <rFont val="Cambria"/>
        <family val="1"/>
      </rPr>
      <t xml:space="preserve"> away):</t>
    </r>
  </si>
  <si>
    <r>
      <t>Watch Error: (fast−/slow</t>
    </r>
    <r>
      <rPr>
        <b/>
        <sz val="11"/>
        <rFont val="Cambria"/>
        <family val="1"/>
      </rPr>
      <t>+</t>
    </r>
    <r>
      <rPr>
        <b/>
        <i/>
        <sz val="11"/>
        <rFont val="Cambria"/>
        <family val="1"/>
      </rPr>
      <t>)</t>
    </r>
  </si>
  <si>
    <r>
      <t>Assumed Lon (E</t>
    </r>
    <r>
      <rPr>
        <b/>
        <sz val="11"/>
        <rFont val="Cambria"/>
        <family val="1"/>
      </rPr>
      <t>+</t>
    </r>
    <r>
      <rPr>
        <b/>
        <i/>
        <sz val="11"/>
        <rFont val="Cambria"/>
        <family val="1"/>
      </rPr>
      <t>/W−):</t>
    </r>
  </si>
  <si>
    <r>
      <t>Declination (N</t>
    </r>
    <r>
      <rPr>
        <b/>
        <sz val="11"/>
        <rFont val="Cambria"/>
        <family val="1"/>
      </rPr>
      <t>+</t>
    </r>
    <r>
      <rPr>
        <b/>
        <i/>
        <sz val="11"/>
        <rFont val="Cambria"/>
        <family val="1"/>
      </rPr>
      <t>/S−):</t>
    </r>
  </si>
  <si>
    <r>
      <t xml:space="preserve">if you like to empty this form for printing only, enter "x" </t>
    </r>
    <r>
      <rPr>
        <sz val="10"/>
        <color indexed="10"/>
        <rFont val="Wingdings 3"/>
        <family val="1"/>
      </rPr>
      <t xml:space="preserve">"  </t>
    </r>
  </si>
  <si>
    <t xml:space="preserve"> Scale 1 : ____</t>
  </si>
  <si>
    <t>LON (E+/W−)</t>
  </si>
  <si>
    <t>Ship's Name</t>
  </si>
  <si>
    <t>Assumed Position:</t>
  </si>
  <si>
    <t xml:space="preserve"> Scale 1 : 20</t>
  </si>
</sst>
</file>

<file path=xl/styles.xml><?xml version="1.0" encoding="utf-8"?>
<styleSheet xmlns="http://schemas.openxmlformats.org/spreadsheetml/2006/main">
  <numFmts count="7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°;00\°\ "/>
    <numFmt numFmtId="165" formatCode="00.0\'"/>
    <numFmt numFmtId="166" formatCode="0.0\°\C"/>
    <numFmt numFmtId="167" formatCode="0\ &quot;mtr&quot;"/>
    <numFmt numFmtId="168" formatCode="000.0\°"/>
    <numFmt numFmtId="169" formatCode="##.0&quot; °C&quot;"/>
    <numFmt numFmtId="170" formatCode="000\°;000\°\ "/>
    <numFmt numFmtId="171" formatCode="#,##0.0\ &quot;mb&quot;"/>
    <numFmt numFmtId="172" formatCode="\+0.0\';\-0.0\'"/>
    <numFmt numFmtId="173" formatCode="[&lt;0]0.0\E\ ;[&gt;0]#.0\W\ ;"/>
    <numFmt numFmtId="174" formatCode="##.0&quot; kts&quot;"/>
    <numFmt numFmtId="175" formatCode="##&quot; mb&quot;"/>
    <numFmt numFmtId="176" formatCode="yyyy/mm/dd\ hh:mm:ss"/>
    <numFmt numFmtId="177" formatCode="yyyy\-mm\-dd"/>
    <numFmt numFmtId="178" formatCode="000&quot;° TRUE&quot;"/>
    <numFmt numFmtId="179" formatCode="0.0\ &quot;kts&quot;"/>
    <numFmt numFmtId="180" formatCode="hh:mm;@"/>
    <numFmt numFmtId="181" formatCode="00\°"/>
    <numFmt numFmtId="182" formatCode="000\°"/>
    <numFmt numFmtId="183" formatCode="000"/>
    <numFmt numFmtId="184" formatCode="00"/>
    <numFmt numFmtId="185" formatCode="0;\-0"/>
    <numFmt numFmtId="186" formatCode="00\°\ 00\'"/>
    <numFmt numFmtId="187" formatCode="0.0\ &quot;E&quot;;0.0\ &quot;W&quot;"/>
    <numFmt numFmtId="188" formatCode="\+\ 0\ &quot;sec&quot;;\ \-\ 0\ &quot;sec&quot;;&quot;±&quot;\ 0\ &quot;sec&quot;"/>
    <numFmt numFmtId="189" formatCode="yyyy\-mm\-dd\ hh:mm:ss"/>
    <numFmt numFmtId="190" formatCode="0\°\C"/>
    <numFmt numFmtId="191" formatCode="#\ ##0\ &quot;hPa&quot;"/>
    <numFmt numFmtId="192" formatCode="00\°\ 00.0\'"/>
    <numFmt numFmtId="193" formatCode="00\°\ 00.0\'\ &quot;N&quot;;00\°\ 00.0\'\ &quot;S&quot;"/>
    <numFmt numFmtId="194" formatCode="000\°\ 00.0\'\ &quot;E&quot;;000\°\ 00.0\'\ &quot;W&quot;"/>
    <numFmt numFmtId="195" formatCode="0.00000\°"/>
    <numFmt numFmtId="196" formatCode="0.0\'"/>
    <numFmt numFmtId="197" formatCode="0.00000\'"/>
    <numFmt numFmtId="198" formatCode="\+\ 0.0\';\ \ \−\ 0.0\';&quot;±&quot;\ 0.0\'"/>
    <numFmt numFmtId="199" formatCode="\+\ \ \ \ \ \ \ 00.0\';\ \ \−\ \ \ \ \ \ \ 00.0\';&quot;±       &quot;00.0\'"/>
    <numFmt numFmtId="200" formatCode="\+\ \ \ \ \ \ \ 00.0\';\+\ \ \ \ \ \ \ 00.0\';\+\ \ \ \ \ \ \ \ \ \ &quot;n/a&quot;"/>
    <numFmt numFmtId="201" formatCode="\+\ \ \ \ \ \ \ 00.0\';\−\ \ \ \ \ \ \ 00.0\';\±\ \ \ \ \ \ \ \ \ \ &quot;n/a&quot;"/>
    <numFmt numFmtId="202" formatCode="000\°\ 00.0\'"/>
    <numFmt numFmtId="203" formatCode="000\°\ 00.0\';000\°\ 00.0\'"/>
    <numFmt numFmtId="204" formatCode="00\°\ 00.0\';00\°\ 00.0\'"/>
    <numFmt numFmtId="205" formatCode="0.0\';\-0.0\'"/>
    <numFmt numFmtId="206" formatCode="\+\ \ \ 00\°\ 00.0\';\−\ \ \ 00\°\ 00.0\'"/>
    <numFmt numFmtId="207" formatCode="0.0"/>
    <numFmt numFmtId="208" formatCode="0.0000"/>
    <numFmt numFmtId="209" formatCode="0.0\ &quot;nm&quot;"/>
    <numFmt numFmtId="210" formatCode="0.0000000"/>
    <numFmt numFmtId="211" formatCode="0.000"/>
    <numFmt numFmtId="212" formatCode="yyyy\-mm\-dd\ hh:mm"/>
    <numFmt numFmtId="213" formatCode="dd/mm/\ hh:mm"/>
    <numFmt numFmtId="214" formatCode="0.0\°"/>
    <numFmt numFmtId="215" formatCode="&quot;−&quot;\ \ 0.0\ &quot;nm&quot;"/>
    <numFmt numFmtId="216" formatCode="0&quot;m&quot;"/>
    <numFmt numFmtId="217" formatCode="0.00&quot;M&quot;"/>
    <numFmt numFmtId="218" formatCode="0.0\ &quot;M&quot;"/>
    <numFmt numFmtId="219" formatCode="0\ &quot;M&quot;"/>
    <numFmt numFmtId="220" formatCode="0\°"/>
    <numFmt numFmtId="221" formatCode="0\ &quot;m&quot;"/>
    <numFmt numFmtId="222" formatCode="00.0"/>
    <numFmt numFmtId="223" formatCode="0\ &quot;min&quot;"/>
    <numFmt numFmtId="224" formatCode="hh:mm:ss;@"/>
    <numFmt numFmtId="225" formatCode="0.0000000000"/>
    <numFmt numFmtId="226" formatCode="[$-409]0.0"/>
    <numFmt numFmtId="227" formatCode="0.00000"/>
    <numFmt numFmtId="228" formatCode="\−\ \ \ \ \ \ \ 00.0\';\−\ \ \ \ \ \ \ 00.0\';\−\ \ \ \ \ \ \ \ \ \ &quot;n/a&quot;"/>
    <numFmt numFmtId="229" formatCode="0\'"/>
    <numFmt numFmtId="230" formatCode="0.0\'\'"/>
    <numFmt numFmtId="231" formatCode="\ @"/>
    <numFmt numFmtId="232" formatCode="00\°\ &quot;N&quot;;00\°\ &quot;S&quot;"/>
    <numFmt numFmtId="233" formatCode="0.0000\°"/>
    <numFmt numFmtId="234" formatCode="[$-F400]h:mm:ss\ AM/PM"/>
  </numFmts>
  <fonts count="153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Cambria"/>
      <family val="1"/>
    </font>
    <font>
      <b/>
      <sz val="16"/>
      <name val="Cambria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12"/>
      <name val="Wingdings 3"/>
      <family val="1"/>
    </font>
    <font>
      <sz val="10"/>
      <name val="Wingdings"/>
      <family val="0"/>
    </font>
    <font>
      <sz val="20"/>
      <name val="Wingdings 3"/>
      <family val="1"/>
    </font>
    <font>
      <sz val="12"/>
      <name val="Wingdings"/>
      <family val="0"/>
    </font>
    <font>
      <b/>
      <sz val="12"/>
      <name val="Cambria"/>
      <family val="1"/>
    </font>
    <font>
      <b/>
      <i/>
      <sz val="12"/>
      <color indexed="8"/>
      <name val="Calibri"/>
      <family val="2"/>
    </font>
    <font>
      <sz val="8"/>
      <name val="Calibri"/>
      <family val="2"/>
    </font>
    <font>
      <b/>
      <i/>
      <sz val="11"/>
      <name val="Cambria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Wingdings"/>
      <family val="0"/>
    </font>
    <font>
      <b/>
      <sz val="20"/>
      <color indexed="8"/>
      <name val="Calibri"/>
      <family val="2"/>
    </font>
    <font>
      <b/>
      <sz val="20"/>
      <color indexed="8"/>
      <name val="Wingdings"/>
      <family val="0"/>
    </font>
    <font>
      <i/>
      <sz val="16"/>
      <color indexed="8"/>
      <name val="Calibri"/>
      <family val="2"/>
    </font>
    <font>
      <i/>
      <sz val="16"/>
      <color indexed="8"/>
      <name val="Wingdings"/>
      <family val="0"/>
    </font>
    <font>
      <b/>
      <i/>
      <sz val="11"/>
      <name val="Symbol"/>
      <family val="1"/>
    </font>
    <font>
      <sz val="12"/>
      <name val="Symbol"/>
      <family val="1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Cambria"/>
      <family val="1"/>
    </font>
    <font>
      <sz val="11"/>
      <color indexed="10"/>
      <name val="Cambria"/>
      <family val="1"/>
    </font>
    <font>
      <sz val="12"/>
      <color indexed="8"/>
      <name val="Lucida Grande"/>
      <family val="0"/>
    </font>
    <font>
      <b/>
      <sz val="12"/>
      <name val="Arial"/>
      <family val="2"/>
    </font>
    <font>
      <b/>
      <sz val="12"/>
      <name val="Symbol"/>
      <family val="1"/>
    </font>
    <font>
      <i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b/>
      <sz val="18"/>
      <color indexed="17"/>
      <name val="Calibri"/>
      <family val="2"/>
    </font>
    <font>
      <b/>
      <sz val="12"/>
      <color indexed="10"/>
      <name val="Calibri"/>
      <family val="2"/>
    </font>
    <font>
      <sz val="10"/>
      <color indexed="8"/>
      <name val="Geneva"/>
      <family val="0"/>
    </font>
    <font>
      <b/>
      <sz val="14"/>
      <name val="Cambria"/>
      <family val="1"/>
    </font>
    <font>
      <sz val="14"/>
      <name val="Cambria"/>
      <family val="1"/>
    </font>
    <font>
      <sz val="16"/>
      <name val="Cambria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mbria"/>
      <family val="1"/>
    </font>
    <font>
      <b/>
      <sz val="11"/>
      <name val="Symbol"/>
      <family val="1"/>
    </font>
    <font>
      <sz val="10"/>
      <color indexed="10"/>
      <name val="Wingdings 3"/>
      <family val="1"/>
    </font>
    <font>
      <sz val="10"/>
      <name val="Cambria"/>
      <family val="1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name val="Cambria"/>
      <family val="1"/>
    </font>
    <font>
      <i/>
      <sz val="12"/>
      <color indexed="12"/>
      <name val="Cambria"/>
      <family val="1"/>
    </font>
    <font>
      <sz val="12"/>
      <color indexed="53"/>
      <name val="Cambria"/>
      <family val="1"/>
    </font>
    <font>
      <sz val="12"/>
      <color indexed="10"/>
      <name val="Cambria"/>
      <family val="1"/>
    </font>
    <font>
      <sz val="12"/>
      <color indexed="8"/>
      <name val="Cambria"/>
      <family val="1"/>
    </font>
    <font>
      <sz val="11"/>
      <color indexed="53"/>
      <name val="Cambria"/>
      <family val="1"/>
    </font>
    <font>
      <sz val="10"/>
      <color indexed="20"/>
      <name val="Cambria"/>
      <family val="1"/>
    </font>
    <font>
      <sz val="12"/>
      <color indexed="2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i/>
      <sz val="12"/>
      <color indexed="23"/>
      <name val="Cambria"/>
      <family val="1"/>
    </font>
    <font>
      <i/>
      <sz val="12"/>
      <color indexed="20"/>
      <name val="Cambria"/>
      <family val="1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17"/>
      <name val="Cambria"/>
      <family val="1"/>
    </font>
    <font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23"/>
      <name val="Cambria"/>
      <family val="1"/>
    </font>
    <font>
      <b/>
      <i/>
      <sz val="12"/>
      <color indexed="10"/>
      <name val="Cambria"/>
      <family val="1"/>
    </font>
    <font>
      <b/>
      <sz val="9"/>
      <name val="Cambria"/>
      <family val="1"/>
    </font>
    <font>
      <i/>
      <sz val="12"/>
      <color indexed="10"/>
      <name val="Cambria"/>
      <family val="1"/>
    </font>
    <font>
      <sz val="8"/>
      <color indexed="55"/>
      <name val="Cambria"/>
      <family val="1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20"/>
      <color indexed="8"/>
      <name val="Arial"/>
      <family val="2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sz val="22"/>
      <color indexed="8"/>
      <name val="Calibri"/>
      <family val="2"/>
    </font>
    <font>
      <sz val="8"/>
      <name val="Segoe UI"/>
      <family val="2"/>
    </font>
    <font>
      <sz val="8.45"/>
      <color indexed="8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i/>
      <sz val="12"/>
      <color theme="1"/>
      <name val="Calibri"/>
      <family val="2"/>
    </font>
    <font>
      <i/>
      <sz val="12"/>
      <color rgb="FF0000FF"/>
      <name val="Cambria"/>
      <family val="1"/>
    </font>
    <font>
      <sz val="12"/>
      <color theme="9" tint="-0.24997000396251678"/>
      <name val="Cambria"/>
      <family val="1"/>
    </font>
    <font>
      <sz val="10"/>
      <color rgb="FFFF0000"/>
      <name val="Cambria"/>
      <family val="1"/>
    </font>
    <font>
      <sz val="12"/>
      <color rgb="FFFF0000"/>
      <name val="Cambria"/>
      <family val="1"/>
    </font>
    <font>
      <sz val="12"/>
      <color theme="1"/>
      <name val="Cambria"/>
      <family val="1"/>
    </font>
    <font>
      <sz val="11"/>
      <color rgb="FFFF0000"/>
      <name val="Cambria"/>
      <family val="1"/>
    </font>
    <font>
      <sz val="11"/>
      <color theme="9" tint="-0.24997000396251678"/>
      <name val="Cambria"/>
      <family val="1"/>
    </font>
    <font>
      <sz val="10"/>
      <color rgb="FF660066"/>
      <name val="Cambria"/>
      <family val="1"/>
    </font>
    <font>
      <sz val="12"/>
      <color rgb="FF660066"/>
      <name val="Cambria"/>
      <family val="1"/>
    </font>
    <font>
      <sz val="11"/>
      <color theme="1"/>
      <name val="Cambria"/>
      <family val="1"/>
    </font>
    <font>
      <b/>
      <i/>
      <sz val="11"/>
      <color theme="1"/>
      <name val="Cambria"/>
      <family val="1"/>
    </font>
    <font>
      <i/>
      <sz val="12"/>
      <color theme="0" tint="-0.4999699890613556"/>
      <name val="Cambria"/>
      <family val="1"/>
    </font>
    <font>
      <i/>
      <sz val="12"/>
      <color rgb="FF660066"/>
      <name val="Cambria"/>
      <family val="1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rgb="FF008000"/>
      <name val="Cambria"/>
      <family val="1"/>
    </font>
    <font>
      <u val="single"/>
      <sz val="12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0" tint="-0.4999699890613556"/>
      <name val="Cambria"/>
      <family val="1"/>
    </font>
    <font>
      <b/>
      <i/>
      <sz val="12"/>
      <color rgb="FFFF0000"/>
      <name val="Cambria"/>
      <family val="1"/>
    </font>
    <font>
      <sz val="8"/>
      <color theme="0" tint="-0.3499799966812134"/>
      <name val="Cambria"/>
      <family val="1"/>
    </font>
    <font>
      <i/>
      <sz val="12"/>
      <color rgb="FFFF0000"/>
      <name val="Cambria"/>
      <family val="1"/>
    </font>
    <font>
      <b/>
      <sz val="20"/>
      <color theme="1"/>
      <name val="Calibri"/>
      <family val="2"/>
    </font>
    <font>
      <i/>
      <sz val="16"/>
      <color theme="1"/>
      <name val="Calibri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Calibri"/>
      <family val="2"/>
    </font>
    <font>
      <i/>
      <sz val="14"/>
      <color theme="1"/>
      <name val="Calibri"/>
      <family val="2"/>
    </font>
    <font>
      <sz val="22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BBFCA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99979984760284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theme="1" tint="0.15000000596046448"/>
      </left>
      <right>
        <color indexed="63"/>
      </right>
      <top style="medium">
        <color theme="1" tint="0.15000000596046448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15000000596046448"/>
      </top>
      <bottom>
        <color indexed="63"/>
      </bottom>
    </border>
    <border>
      <left>
        <color indexed="63"/>
      </left>
      <right style="medium">
        <color theme="0" tint="-0.1499900072813034"/>
      </right>
      <top style="medium">
        <color theme="1" tint="0.15000000596046448"/>
      </top>
      <bottom>
        <color indexed="63"/>
      </bottom>
    </border>
    <border>
      <left style="medium">
        <color theme="1" tint="0.150000005960464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1499900072813034"/>
      </right>
      <top>
        <color indexed="63"/>
      </top>
      <bottom>
        <color indexed="63"/>
      </bottom>
    </border>
    <border>
      <left style="medium">
        <color theme="1" tint="0.15000000596046448"/>
      </left>
      <right>
        <color indexed="63"/>
      </right>
      <top>
        <color indexed="63"/>
      </top>
      <bottom style="medium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1499900072813034"/>
      </bottom>
    </border>
    <border>
      <left>
        <color indexed="63"/>
      </left>
      <right style="medium">
        <color theme="0" tint="-0.1499900072813034"/>
      </right>
      <top>
        <color indexed="63"/>
      </top>
      <bottom style="medium">
        <color theme="0" tint="-0.1499900072813034"/>
      </bottom>
    </border>
    <border>
      <left>
        <color indexed="63"/>
      </left>
      <right style="medium">
        <color theme="0" tint="-0.1499900072813034"/>
      </right>
      <top style="medium">
        <color theme="1" tint="0.04998999834060669"/>
      </top>
      <bottom>
        <color indexed="63"/>
      </bottom>
    </border>
    <border>
      <left style="medium">
        <color theme="1" tint="0.04998999834060669"/>
      </left>
      <right>
        <color indexed="63"/>
      </right>
      <top style="medium">
        <color theme="1" tint="0.04998999834060669"/>
      </top>
      <bottom>
        <color indexed="63"/>
      </bottom>
    </border>
    <border>
      <left style="medium">
        <color theme="1" tint="0.04998999834060669"/>
      </left>
      <right>
        <color indexed="63"/>
      </right>
      <top>
        <color indexed="63"/>
      </top>
      <bottom style="medium">
        <color theme="0" tint="-0.1499900072813034"/>
      </bottom>
    </border>
    <border>
      <left>
        <color indexed="63"/>
      </left>
      <right>
        <color indexed="63"/>
      </right>
      <top style="thin"/>
      <bottom style="thin">
        <color rgb="FFFF0000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>
        <color theme="1" tint="0.0499899983406066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rgb="FF0000FF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 style="thin">
        <color rgb="FF7030A0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0" fontId="101" fillId="26" borderId="2" applyNumberFormat="0" applyAlignment="0" applyProtection="0"/>
    <xf numFmtId="41" fontId="0" fillId="0" borderId="0" applyFont="0" applyFill="0" applyBorder="0" applyAlignment="0" applyProtection="0"/>
    <xf numFmtId="0" fontId="102" fillId="27" borderId="2" applyNumberFormat="0" applyAlignment="0" applyProtection="0"/>
    <xf numFmtId="0" fontId="103" fillId="0" borderId="3" applyNumberFormat="0" applyFill="0" applyAlignment="0" applyProtection="0"/>
    <xf numFmtId="0" fontId="104" fillId="0" borderId="0" applyNumberFormat="0" applyFill="0" applyBorder="0" applyAlignment="0" applyProtection="0"/>
    <xf numFmtId="0" fontId="105" fillId="28" borderId="0" applyNumberFormat="0" applyBorder="0" applyAlignment="0" applyProtection="0"/>
    <xf numFmtId="43" fontId="0" fillId="0" borderId="0" applyFont="0" applyFill="0" applyBorder="0" applyAlignment="0" applyProtection="0"/>
    <xf numFmtId="0" fontId="106" fillId="29" borderId="0" applyNumberFormat="0" applyBorder="0" applyAlignment="0" applyProtection="0"/>
    <xf numFmtId="0" fontId="2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07" fillId="31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32" borderId="9" applyNumberFormat="0" applyAlignment="0" applyProtection="0"/>
    <xf numFmtId="0" fontId="28" fillId="0" borderId="0">
      <alignment/>
      <protection/>
    </xf>
  </cellStyleXfs>
  <cellXfs count="998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7" fillId="0" borderId="14" xfId="0" applyFont="1" applyFill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105" fillId="28" borderId="0" xfId="45" applyAlignment="1" applyProtection="1">
      <alignment horizontal="right"/>
      <protection hidden="1"/>
    </xf>
    <xf numFmtId="0" fontId="105" fillId="28" borderId="0" xfId="45" applyAlignment="1" applyProtection="1">
      <alignment horizontal="left"/>
      <protection hidden="1"/>
    </xf>
    <xf numFmtId="183" fontId="105" fillId="28" borderId="0" xfId="45" applyNumberFormat="1" applyAlignment="1" applyProtection="1">
      <alignment horizontal="left"/>
      <protection hidden="1"/>
    </xf>
    <xf numFmtId="184" fontId="105" fillId="28" borderId="0" xfId="45" applyNumberFormat="1" applyAlignment="1" applyProtection="1">
      <alignment horizontal="right"/>
      <protection hidden="1"/>
    </xf>
    <xf numFmtId="0" fontId="115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horizontal="left" vertical="center" indent="2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168" fontId="5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169" fontId="5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3" fontId="5" fillId="0" borderId="0" xfId="0" applyNumberFormat="1" applyFont="1" applyFill="1" applyBorder="1" applyAlignment="1" applyProtection="1">
      <alignment horizontal="center" vertical="center"/>
      <protection hidden="1"/>
    </xf>
    <xf numFmtId="174" fontId="5" fillId="0" borderId="0" xfId="0" applyNumberFormat="1" applyFont="1" applyFill="1" applyBorder="1" applyAlignment="1" applyProtection="1">
      <alignment vertical="center"/>
      <protection hidden="1"/>
    </xf>
    <xf numFmtId="175" fontId="5" fillId="0" borderId="0" xfId="0" applyNumberFormat="1" applyFont="1" applyFill="1" applyBorder="1" applyAlignment="1" applyProtection="1">
      <alignment vertical="center"/>
      <protection hidden="1"/>
    </xf>
    <xf numFmtId="0" fontId="12" fillId="10" borderId="0" xfId="0" applyFont="1" applyFill="1" applyAlignment="1" applyProtection="1">
      <alignment horizontal="center" vertical="center"/>
      <protection hidden="1"/>
    </xf>
    <xf numFmtId="0" fontId="2" fillId="1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 vertical="center"/>
      <protection hidden="1" locked="0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5" fillId="34" borderId="0" xfId="0" applyNumberFormat="1" applyFont="1" applyFill="1" applyBorder="1" applyAlignment="1" applyProtection="1">
      <alignment horizontal="center" vertical="center"/>
      <protection hidden="1"/>
    </xf>
    <xf numFmtId="168" fontId="5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169" fontId="5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173" fontId="5" fillId="34" borderId="0" xfId="0" applyNumberFormat="1" applyFont="1" applyFill="1" applyBorder="1" applyAlignment="1" applyProtection="1">
      <alignment horizontal="center" vertical="center"/>
      <protection hidden="1"/>
    </xf>
    <xf numFmtId="174" fontId="5" fillId="34" borderId="0" xfId="0" applyNumberFormat="1" applyFont="1" applyFill="1" applyBorder="1" applyAlignment="1" applyProtection="1">
      <alignment vertical="center"/>
      <protection hidden="1"/>
    </xf>
    <xf numFmtId="175" fontId="5" fillId="34" borderId="0" xfId="0" applyNumberFormat="1" applyFont="1" applyFill="1" applyBorder="1" applyAlignment="1" applyProtection="1">
      <alignment vertical="center"/>
      <protection hidden="1"/>
    </xf>
    <xf numFmtId="176" fontId="5" fillId="34" borderId="0" xfId="0" applyNumberFormat="1" applyFont="1" applyFill="1" applyBorder="1" applyAlignment="1" applyProtection="1">
      <alignment horizontal="center" vertical="center"/>
      <protection hidden="1"/>
    </xf>
    <xf numFmtId="20" fontId="2" fillId="34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 locked="0"/>
    </xf>
    <xf numFmtId="167" fontId="2" fillId="0" borderId="0" xfId="0" applyNumberFormat="1" applyFont="1" applyFill="1" applyBorder="1" applyAlignment="1" applyProtection="1">
      <alignment horizontal="center" vertical="center"/>
      <protection hidden="1" locked="0"/>
    </xf>
    <xf numFmtId="172" fontId="2" fillId="0" borderId="0" xfId="0" applyNumberFormat="1" applyFont="1" applyFill="1" applyBorder="1" applyAlignment="1" applyProtection="1">
      <alignment horizontal="center" vertical="center"/>
      <protection hidden="1" locked="0"/>
    </xf>
    <xf numFmtId="179" fontId="2" fillId="0" borderId="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 indent="2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20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182" fontId="2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 shrinkToFit="1"/>
      <protection hidden="1"/>
    </xf>
    <xf numFmtId="0" fontId="115" fillId="35" borderId="0" xfId="0" applyFont="1" applyFill="1" applyAlignment="1" applyProtection="1">
      <alignment horizontal="center"/>
      <protection hidden="1"/>
    </xf>
    <xf numFmtId="0" fontId="113" fillId="35" borderId="0" xfId="45" applyFont="1" applyFill="1" applyAlignment="1" applyProtection="1">
      <alignment horizontal="right"/>
      <protection hidden="1"/>
    </xf>
    <xf numFmtId="167" fontId="2" fillId="0" borderId="0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4" fillId="19" borderId="0" xfId="0" applyFont="1" applyFill="1" applyAlignment="1" applyProtection="1">
      <alignment horizontal="center"/>
      <protection hidden="1"/>
    </xf>
    <xf numFmtId="0" fontId="44" fillId="19" borderId="0" xfId="45" applyFont="1" applyFill="1" applyAlignment="1" applyProtection="1">
      <alignment horizontal="left"/>
      <protection hidden="1"/>
    </xf>
    <xf numFmtId="0" fontId="44" fillId="19" borderId="0" xfId="0" applyFont="1" applyFill="1" applyAlignment="1" applyProtection="1">
      <alignment horizontal="right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192" fontId="2" fillId="36" borderId="16" xfId="0" applyNumberFormat="1" applyFont="1" applyFill="1" applyBorder="1" applyAlignment="1" applyProtection="1">
      <alignment vertical="center"/>
      <protection hidden="1"/>
    </xf>
    <xf numFmtId="192" fontId="2" fillId="36" borderId="17" xfId="0" applyNumberFormat="1" applyFont="1" applyFill="1" applyBorder="1" applyAlignment="1" applyProtection="1">
      <alignment vertical="center"/>
      <protection hidden="1"/>
    </xf>
    <xf numFmtId="195" fontId="2" fillId="0" borderId="0" xfId="0" applyNumberFormat="1" applyFont="1" applyFill="1" applyBorder="1" applyAlignment="1" applyProtection="1">
      <alignment horizontal="right" vertical="center"/>
      <protection hidden="1"/>
    </xf>
    <xf numFmtId="197" fontId="2" fillId="0" borderId="0" xfId="0" applyNumberFormat="1" applyFont="1" applyFill="1" applyBorder="1" applyAlignment="1" applyProtection="1">
      <alignment horizontal="right" vertical="center"/>
      <protection hidden="1"/>
    </xf>
    <xf numFmtId="196" fontId="2" fillId="0" borderId="0" xfId="0" applyNumberFormat="1" applyFont="1" applyFill="1" applyBorder="1" applyAlignment="1" applyProtection="1">
      <alignment horizontal="right" vertical="center"/>
      <protection hidden="1"/>
    </xf>
    <xf numFmtId="195" fontId="2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96" fontId="2" fillId="0" borderId="0" xfId="0" applyNumberFormat="1" applyFont="1" applyAlignment="1" applyProtection="1">
      <alignment horizontal="right" vertical="center"/>
      <protection hidden="1"/>
    </xf>
    <xf numFmtId="210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18" xfId="0" applyFont="1" applyFill="1" applyBorder="1" applyAlignment="1" applyProtection="1">
      <alignment horizontal="left" vertical="center"/>
      <protection hidden="1"/>
    </xf>
    <xf numFmtId="211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19" xfId="0" applyFont="1" applyFill="1" applyBorder="1" applyAlignment="1" applyProtection="1">
      <alignment horizontal="left" vertical="center"/>
      <protection hidden="1"/>
    </xf>
    <xf numFmtId="0" fontId="65" fillId="0" borderId="20" xfId="0" applyFont="1" applyFill="1" applyBorder="1" applyAlignment="1" applyProtection="1">
      <alignment horizontal="center" vertical="center"/>
      <protection hidden="1"/>
    </xf>
    <xf numFmtId="0" fontId="65" fillId="37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23" xfId="0" applyFont="1" applyFill="1" applyBorder="1" applyAlignment="1" applyProtection="1">
      <alignment horizontal="left" vertical="center"/>
      <protection hidden="1"/>
    </xf>
    <xf numFmtId="0" fontId="2" fillId="0" borderId="19" xfId="0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right" vertical="center"/>
      <protection hidden="1"/>
    </xf>
    <xf numFmtId="0" fontId="13" fillId="38" borderId="24" xfId="0" applyFont="1" applyFill="1" applyBorder="1" applyAlignment="1" applyProtection="1">
      <alignment horizontal="center" vertical="center"/>
      <protection hidden="1"/>
    </xf>
    <xf numFmtId="0" fontId="13" fillId="38" borderId="25" xfId="0" applyFont="1" applyFill="1" applyBorder="1" applyAlignment="1" applyProtection="1">
      <alignment horizontal="center" vertical="center"/>
      <protection hidden="1"/>
    </xf>
    <xf numFmtId="0" fontId="7" fillId="38" borderId="26" xfId="0" applyFont="1" applyFill="1" applyBorder="1" applyAlignment="1" applyProtection="1">
      <alignment horizontal="right" vertical="center"/>
      <protection hidden="1"/>
    </xf>
    <xf numFmtId="0" fontId="7" fillId="38" borderId="27" xfId="0" applyFont="1" applyFill="1" applyBorder="1" applyAlignment="1" applyProtection="1">
      <alignment horizontal="right" vertical="center"/>
      <protection hidden="1"/>
    </xf>
    <xf numFmtId="0" fontId="13" fillId="38" borderId="21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right" vertical="center"/>
      <protection hidden="1"/>
    </xf>
    <xf numFmtId="211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right" vertical="center"/>
      <protection hidden="1"/>
    </xf>
    <xf numFmtId="211" fontId="2" fillId="0" borderId="29" xfId="0" applyNumberFormat="1" applyFont="1" applyFill="1" applyBorder="1" applyAlignment="1" applyProtection="1">
      <alignment horizontal="center" vertical="center"/>
      <protection hidden="1"/>
    </xf>
    <xf numFmtId="0" fontId="116" fillId="36" borderId="0" xfId="0" applyFont="1" applyFill="1" applyBorder="1" applyAlignment="1" applyProtection="1">
      <alignment horizontal="left" vertical="center"/>
      <protection hidden="1"/>
    </xf>
    <xf numFmtId="20" fontId="116" fillId="36" borderId="0" xfId="0" applyNumberFormat="1" applyFont="1" applyFill="1" applyBorder="1" applyAlignment="1" applyProtection="1">
      <alignment horizontal="left" vertical="center"/>
      <protection hidden="1"/>
    </xf>
    <xf numFmtId="211" fontId="2" fillId="0" borderId="14" xfId="0" applyNumberFormat="1" applyFont="1" applyFill="1" applyBorder="1" applyAlignment="1" applyProtection="1">
      <alignment horizontal="center" vertical="center"/>
      <protection hidden="1"/>
    </xf>
    <xf numFmtId="211" fontId="2" fillId="0" borderId="26" xfId="0" applyNumberFormat="1" applyFont="1" applyFill="1" applyBorder="1" applyAlignment="1" applyProtection="1">
      <alignment horizontal="center" vertical="center"/>
      <protection hidden="1"/>
    </xf>
    <xf numFmtId="211" fontId="6" fillId="0" borderId="26" xfId="0" applyNumberFormat="1" applyFont="1" applyFill="1" applyBorder="1" applyAlignment="1" applyProtection="1">
      <alignment horizontal="center" vertical="center"/>
      <protection hidden="1"/>
    </xf>
    <xf numFmtId="211" fontId="2" fillId="0" borderId="29" xfId="0" applyNumberFormat="1" applyFont="1" applyFill="1" applyBorder="1" applyAlignment="1" applyProtection="1">
      <alignment horizontal="center" vertical="center"/>
      <protection hidden="1"/>
    </xf>
    <xf numFmtId="211" fontId="6" fillId="0" borderId="27" xfId="0" applyNumberFormat="1" applyFont="1" applyFill="1" applyBorder="1" applyAlignment="1" applyProtection="1">
      <alignment horizontal="center" vertical="center"/>
      <protection hidden="1"/>
    </xf>
    <xf numFmtId="211" fontId="2" fillId="0" borderId="14" xfId="0" applyNumberFormat="1" applyFont="1" applyFill="1" applyBorder="1" applyAlignment="1" applyProtection="1">
      <alignment horizontal="center" vertical="center"/>
      <protection hidden="1"/>
    </xf>
    <xf numFmtId="211" fontId="2" fillId="0" borderId="30" xfId="0" applyNumberFormat="1" applyFont="1" applyFill="1" applyBorder="1" applyAlignment="1" applyProtection="1">
      <alignment horizontal="center" vertical="center"/>
      <protection hidden="1"/>
    </xf>
    <xf numFmtId="2" fontId="2" fillId="0" borderId="13" xfId="0" applyNumberFormat="1" applyFont="1" applyFill="1" applyBorder="1" applyAlignment="1" applyProtection="1">
      <alignment horizontal="right" vertical="center"/>
      <protection hidden="1"/>
    </xf>
    <xf numFmtId="2" fontId="2" fillId="0" borderId="31" xfId="0" applyNumberFormat="1" applyFont="1" applyFill="1" applyBorder="1" applyAlignment="1" applyProtection="1">
      <alignment horizontal="right" vertical="center"/>
      <protection hidden="1"/>
    </xf>
    <xf numFmtId="208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117" fillId="0" borderId="14" xfId="0" applyFont="1" applyFill="1" applyBorder="1" applyAlignment="1" applyProtection="1">
      <alignment horizontal="center" vertical="center"/>
      <protection hidden="1"/>
    </xf>
    <xf numFmtId="0" fontId="117" fillId="0" borderId="28" xfId="0" applyFont="1" applyFill="1" applyBorder="1" applyAlignment="1" applyProtection="1">
      <alignment horizontal="center" vertical="center"/>
      <protection hidden="1"/>
    </xf>
    <xf numFmtId="0" fontId="2" fillId="36" borderId="10" xfId="0" applyFont="1" applyFill="1" applyBorder="1" applyAlignment="1" applyProtection="1">
      <alignment horizontal="left" vertical="center"/>
      <protection hidden="1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2" fillId="36" borderId="15" xfId="0" applyFont="1" applyFill="1" applyBorder="1" applyAlignment="1" applyProtection="1">
      <alignment horizontal="left" vertical="center"/>
      <protection hidden="1"/>
    </xf>
    <xf numFmtId="185" fontId="2" fillId="36" borderId="0" xfId="0" applyNumberFormat="1" applyFont="1" applyFill="1" applyBorder="1" applyAlignment="1" applyProtection="1">
      <alignment vertical="center"/>
      <protection hidden="1"/>
    </xf>
    <xf numFmtId="0" fontId="6" fillId="36" borderId="0" xfId="0" applyFont="1" applyFill="1" applyBorder="1" applyAlignment="1" applyProtection="1">
      <alignment vertical="center"/>
      <protection hidden="1"/>
    </xf>
    <xf numFmtId="0" fontId="13" fillId="36" borderId="0" xfId="0" applyFont="1" applyFill="1" applyBorder="1" applyAlignment="1" applyProtection="1">
      <alignment vertical="center"/>
      <protection hidden="1"/>
    </xf>
    <xf numFmtId="0" fontId="2" fillId="36" borderId="32" xfId="0" applyFont="1" applyFill="1" applyBorder="1" applyAlignment="1" applyProtection="1">
      <alignment horizontal="left" vertical="center"/>
      <protection hidden="1"/>
    </xf>
    <xf numFmtId="0" fontId="2" fillId="36" borderId="33" xfId="0" applyFont="1" applyFill="1" applyBorder="1" applyAlignment="1" applyProtection="1">
      <alignment horizontal="left" vertical="center"/>
      <protection hidden="1"/>
    </xf>
    <xf numFmtId="180" fontId="2" fillId="36" borderId="0" xfId="0" applyNumberFormat="1" applyFont="1" applyFill="1" applyBorder="1" applyAlignment="1" applyProtection="1">
      <alignment vertical="center"/>
      <protection hidden="1"/>
    </xf>
    <xf numFmtId="0" fontId="7" fillId="36" borderId="0" xfId="0" applyFont="1" applyFill="1" applyBorder="1" applyAlignment="1" applyProtection="1">
      <alignment vertical="center"/>
      <protection hidden="1"/>
    </xf>
    <xf numFmtId="182" fontId="2" fillId="36" borderId="0" xfId="0" applyNumberFormat="1" applyFont="1" applyFill="1" applyBorder="1" applyAlignment="1" applyProtection="1">
      <alignment vertical="center"/>
      <protection hidden="1"/>
    </xf>
    <xf numFmtId="0" fontId="16" fillId="36" borderId="0" xfId="0" applyFont="1" applyFill="1" applyBorder="1" applyAlignment="1" applyProtection="1">
      <alignment vertical="center"/>
      <protection hidden="1"/>
    </xf>
    <xf numFmtId="0" fontId="2" fillId="36" borderId="0" xfId="0" applyFont="1" applyFill="1" applyBorder="1" applyAlignment="1" applyProtection="1">
      <alignment vertical="center"/>
      <protection hidden="1"/>
    </xf>
    <xf numFmtId="0" fontId="2" fillId="36" borderId="0" xfId="0" applyFont="1" applyFill="1" applyBorder="1" applyAlignment="1" applyProtection="1">
      <alignment horizontal="center" vertical="center"/>
      <protection hidden="1"/>
    </xf>
    <xf numFmtId="167" fontId="2" fillId="36" borderId="0" xfId="0" applyNumberFormat="1" applyFont="1" applyFill="1" applyBorder="1" applyAlignment="1" applyProtection="1">
      <alignment horizontal="center" vertical="center"/>
      <protection hidden="1"/>
    </xf>
    <xf numFmtId="172" fontId="2" fillId="36" borderId="0" xfId="0" applyNumberFormat="1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>
      <alignment horizontal="left" vertical="center" indent="2"/>
      <protection hidden="1"/>
    </xf>
    <xf numFmtId="0" fontId="2" fillId="36" borderId="0" xfId="0" applyFont="1" applyFill="1" applyBorder="1" applyAlignment="1" applyProtection="1">
      <alignment horizontal="left" vertical="center" wrapText="1"/>
      <protection hidden="1"/>
    </xf>
    <xf numFmtId="0" fontId="13" fillId="36" borderId="0" xfId="0" applyFont="1" applyFill="1" applyBorder="1" applyAlignment="1" applyProtection="1">
      <alignment horizontal="center" vertical="center"/>
      <protection hidden="1"/>
    </xf>
    <xf numFmtId="0" fontId="7" fillId="36" borderId="0" xfId="0" applyFont="1" applyFill="1" applyBorder="1" applyAlignment="1" applyProtection="1">
      <alignment horizontal="center" vertical="center"/>
      <protection hidden="1"/>
    </xf>
    <xf numFmtId="0" fontId="16" fillId="36" borderId="16" xfId="0" applyFont="1" applyFill="1" applyBorder="1" applyAlignment="1" applyProtection="1">
      <alignment horizontal="left" vertical="center"/>
      <protection hidden="1"/>
    </xf>
    <xf numFmtId="0" fontId="2" fillId="36" borderId="16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>
      <alignment horizontal="right" vertical="center" indent="2"/>
      <protection hidden="1"/>
    </xf>
    <xf numFmtId="0" fontId="2" fillId="36" borderId="0" xfId="0" applyFont="1" applyFill="1" applyBorder="1" applyAlignment="1" applyProtection="1">
      <alignment horizontal="right" vertical="center"/>
      <protection hidden="1"/>
    </xf>
    <xf numFmtId="0" fontId="2" fillId="36" borderId="0" xfId="0" applyFont="1" applyFill="1" applyBorder="1" applyAlignment="1" applyProtection="1">
      <alignment vertical="center" wrapText="1"/>
      <protection hidden="1"/>
    </xf>
    <xf numFmtId="0" fontId="2" fillId="36" borderId="34" xfId="0" applyFont="1" applyFill="1" applyBorder="1" applyAlignment="1" applyProtection="1">
      <alignment horizontal="left" vertical="center"/>
      <protection hidden="1"/>
    </xf>
    <xf numFmtId="0" fontId="2" fillId="36" borderId="35" xfId="0" applyFont="1" applyFill="1" applyBorder="1" applyAlignment="1" applyProtection="1">
      <alignment horizontal="left" vertical="center"/>
      <protection hidden="1"/>
    </xf>
    <xf numFmtId="0" fontId="2" fillId="36" borderId="36" xfId="0" applyFont="1" applyFill="1" applyBorder="1" applyAlignment="1" applyProtection="1">
      <alignment horizontal="left" vertical="center"/>
      <protection hidden="1"/>
    </xf>
    <xf numFmtId="0" fontId="2" fillId="36" borderId="37" xfId="0" applyFont="1" applyFill="1" applyBorder="1" applyAlignment="1" applyProtection="1">
      <alignment horizontal="left" vertical="center"/>
      <protection hidden="1"/>
    </xf>
    <xf numFmtId="0" fontId="2" fillId="36" borderId="38" xfId="0" applyFont="1" applyFill="1" applyBorder="1" applyAlignment="1" applyProtection="1">
      <alignment horizontal="left" vertical="center"/>
      <protection hidden="1"/>
    </xf>
    <xf numFmtId="0" fontId="2" fillId="36" borderId="39" xfId="0" applyFont="1" applyFill="1" applyBorder="1" applyAlignment="1" applyProtection="1">
      <alignment horizontal="left" vertical="center"/>
      <protection hidden="1"/>
    </xf>
    <xf numFmtId="202" fontId="2" fillId="36" borderId="16" xfId="0" applyNumberFormat="1" applyFont="1" applyFill="1" applyBorder="1" applyAlignment="1" applyProtection="1">
      <alignment vertical="center"/>
      <protection hidden="1"/>
    </xf>
    <xf numFmtId="202" fontId="2" fillId="36" borderId="17" xfId="0" applyNumberFormat="1" applyFont="1" applyFill="1" applyBorder="1" applyAlignment="1" applyProtection="1">
      <alignment vertical="center"/>
      <protection hidden="1"/>
    </xf>
    <xf numFmtId="202" fontId="2" fillId="33" borderId="16" xfId="0" applyNumberFormat="1" applyFont="1" applyFill="1" applyBorder="1" applyAlignment="1" applyProtection="1">
      <alignment vertical="center"/>
      <protection hidden="1"/>
    </xf>
    <xf numFmtId="202" fontId="2" fillId="33" borderId="17" xfId="0" applyNumberFormat="1" applyFont="1" applyFill="1" applyBorder="1" applyAlignment="1" applyProtection="1">
      <alignment vertical="center"/>
      <protection hidden="1"/>
    </xf>
    <xf numFmtId="0" fontId="28" fillId="0" borderId="0" xfId="48" applyFont="1" applyFill="1" applyAlignment="1" applyProtection="1">
      <alignment horizontal="left"/>
      <protection hidden="1"/>
    </xf>
    <xf numFmtId="0" fontId="65" fillId="37" borderId="21" xfId="48" applyFont="1" applyFill="1" applyBorder="1" applyProtection="1">
      <alignment/>
      <protection hidden="1"/>
    </xf>
    <xf numFmtId="0" fontId="65" fillId="37" borderId="40" xfId="48" applyFont="1" applyFill="1" applyBorder="1" applyAlignment="1" applyProtection="1">
      <alignment horizontal="center" vertical="center"/>
      <protection hidden="1"/>
    </xf>
    <xf numFmtId="0" fontId="65" fillId="37" borderId="24" xfId="48" applyFont="1" applyFill="1" applyBorder="1" applyAlignment="1" applyProtection="1">
      <alignment horizontal="center" vertical="center"/>
      <protection hidden="1"/>
    </xf>
    <xf numFmtId="0" fontId="65" fillId="37" borderId="24" xfId="0" applyFont="1" applyFill="1" applyBorder="1" applyAlignment="1" applyProtection="1">
      <alignment horizontal="center" vertical="center"/>
      <protection hidden="1"/>
    </xf>
    <xf numFmtId="0" fontId="65" fillId="37" borderId="24" xfId="62" applyFont="1" applyFill="1" applyBorder="1" applyAlignment="1" applyProtection="1">
      <alignment horizontal="center" vertical="center"/>
      <protection hidden="1"/>
    </xf>
    <xf numFmtId="0" fontId="65" fillId="37" borderId="25" xfId="62" applyFont="1" applyFill="1" applyBorder="1" applyAlignment="1" applyProtection="1">
      <alignment horizontal="center" vertical="center"/>
      <protection hidden="1"/>
    </xf>
    <xf numFmtId="0" fontId="118" fillId="0" borderId="41" xfId="0" applyFont="1" applyBorder="1" applyAlignment="1" applyProtection="1">
      <alignment horizontal="left"/>
      <protection hidden="1"/>
    </xf>
    <xf numFmtId="208" fontId="119" fillId="0" borderId="14" xfId="0" applyNumberFormat="1" applyFont="1" applyBorder="1" applyAlignment="1" applyProtection="1">
      <alignment horizontal="center"/>
      <protection hidden="1"/>
    </xf>
    <xf numFmtId="207" fontId="119" fillId="0" borderId="14" xfId="0" applyNumberFormat="1" applyFont="1" applyBorder="1" applyAlignment="1" applyProtection="1">
      <alignment horizontal="center"/>
      <protection hidden="1"/>
    </xf>
    <xf numFmtId="0" fontId="119" fillId="0" borderId="42" xfId="0" applyFont="1" applyBorder="1" applyAlignment="1" applyProtection="1">
      <alignment horizontal="center"/>
      <protection hidden="1"/>
    </xf>
    <xf numFmtId="168" fontId="119" fillId="0" borderId="28" xfId="0" applyNumberFormat="1" applyFont="1" applyBorder="1" applyAlignment="1" applyProtection="1">
      <alignment horizontal="center"/>
      <protection hidden="1"/>
    </xf>
    <xf numFmtId="0" fontId="120" fillId="0" borderId="0" xfId="0" applyFont="1" applyFill="1" applyBorder="1" applyAlignment="1" applyProtection="1">
      <alignment/>
      <protection hidden="1"/>
    </xf>
    <xf numFmtId="1" fontId="49" fillId="0" borderId="26" xfId="0" applyNumberFormat="1" applyFont="1" applyBorder="1" applyAlignment="1" applyProtection="1">
      <alignment horizontal="center" vertical="center"/>
      <protection hidden="1"/>
    </xf>
    <xf numFmtId="2" fontId="49" fillId="0" borderId="14" xfId="0" applyNumberFormat="1" applyFont="1" applyBorder="1" applyAlignment="1" applyProtection="1">
      <alignment horizontal="center"/>
      <protection hidden="1"/>
    </xf>
    <xf numFmtId="2" fontId="49" fillId="0" borderId="28" xfId="0" applyNumberFormat="1" applyFont="1" applyBorder="1" applyAlignment="1" applyProtection="1">
      <alignment horizontal="center"/>
      <protection hidden="1"/>
    </xf>
    <xf numFmtId="1" fontId="49" fillId="0" borderId="27" xfId="0" applyNumberFormat="1" applyFont="1" applyBorder="1" applyAlignment="1" applyProtection="1">
      <alignment horizontal="center" vertical="center"/>
      <protection hidden="1"/>
    </xf>
    <xf numFmtId="2" fontId="49" fillId="0" borderId="29" xfId="0" applyNumberFormat="1" applyFont="1" applyBorder="1" applyAlignment="1" applyProtection="1">
      <alignment horizontal="center"/>
      <protection hidden="1"/>
    </xf>
    <xf numFmtId="2" fontId="49" fillId="0" borderId="30" xfId="0" applyNumberFormat="1" applyFont="1" applyBorder="1" applyAlignment="1" applyProtection="1">
      <alignment horizontal="center"/>
      <protection hidden="1"/>
    </xf>
    <xf numFmtId="0" fontId="121" fillId="0" borderId="0" xfId="0" applyFont="1" applyFill="1" applyBorder="1" applyAlignment="1" applyProtection="1">
      <alignment/>
      <protection hidden="1"/>
    </xf>
    <xf numFmtId="0" fontId="49" fillId="37" borderId="19" xfId="0" applyFont="1" applyFill="1" applyBorder="1" applyAlignment="1" applyProtection="1">
      <alignment horizontal="center" vertical="center"/>
      <protection hidden="1"/>
    </xf>
    <xf numFmtId="2" fontId="49" fillId="37" borderId="22" xfId="0" applyNumberFormat="1" applyFont="1" applyFill="1" applyBorder="1" applyAlignment="1" applyProtection="1">
      <alignment/>
      <protection hidden="1"/>
    </xf>
    <xf numFmtId="2" fontId="120" fillId="0" borderId="22" xfId="0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49" fillId="0" borderId="41" xfId="0" applyFont="1" applyBorder="1" applyAlignment="1" applyProtection="1">
      <alignment horizontal="left"/>
      <protection hidden="1"/>
    </xf>
    <xf numFmtId="208" fontId="2" fillId="0" borderId="14" xfId="0" applyNumberFormat="1" applyFont="1" applyBorder="1" applyAlignment="1" applyProtection="1">
      <alignment horizontal="center"/>
      <protection hidden="1"/>
    </xf>
    <xf numFmtId="207" fontId="2" fillId="0" borderId="14" xfId="0" applyNumberFormat="1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center"/>
      <protection hidden="1"/>
    </xf>
    <xf numFmtId="196" fontId="2" fillId="0" borderId="28" xfId="0" applyNumberFormat="1" applyFont="1" applyBorder="1" applyAlignment="1" applyProtection="1">
      <alignment horizontal="center"/>
      <protection hidden="1"/>
    </xf>
    <xf numFmtId="2" fontId="49" fillId="37" borderId="43" xfId="0" applyNumberFormat="1" applyFont="1" applyFill="1" applyBorder="1" applyAlignment="1" applyProtection="1">
      <alignment horizontal="center" vertical="center"/>
      <protection hidden="1"/>
    </xf>
    <xf numFmtId="2" fontId="49" fillId="37" borderId="44" xfId="0" applyNumberFormat="1" applyFont="1" applyFill="1" applyBorder="1" applyAlignment="1" applyProtection="1">
      <alignment/>
      <protection hidden="1"/>
    </xf>
    <xf numFmtId="0" fontId="120" fillId="0" borderId="22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20" fillId="0" borderId="0" xfId="0" applyFont="1" applyBorder="1" applyAlignment="1" applyProtection="1">
      <alignment horizontal="center" vertical="center"/>
      <protection hidden="1"/>
    </xf>
    <xf numFmtId="207" fontId="120" fillId="0" borderId="0" xfId="0" applyNumberFormat="1" applyFont="1" applyBorder="1" applyAlignment="1" applyProtection="1">
      <alignment/>
      <protection hidden="1"/>
    </xf>
    <xf numFmtId="1" fontId="27" fillId="0" borderId="0" xfId="48" applyNumberFormat="1" applyFill="1" applyProtection="1">
      <alignment/>
      <protection hidden="1"/>
    </xf>
    <xf numFmtId="0" fontId="122" fillId="0" borderId="19" xfId="0" applyFont="1" applyBorder="1" applyAlignment="1" applyProtection="1">
      <alignment/>
      <protection hidden="1"/>
    </xf>
    <xf numFmtId="208" fontId="117" fillId="0" borderId="14" xfId="0" applyNumberFormat="1" applyFont="1" applyBorder="1" applyAlignment="1" applyProtection="1">
      <alignment horizontal="center"/>
      <protection hidden="1"/>
    </xf>
    <xf numFmtId="0" fontId="49" fillId="0" borderId="23" xfId="0" applyFont="1" applyBorder="1" applyAlignment="1" applyProtection="1">
      <alignment/>
      <protection hidden="1"/>
    </xf>
    <xf numFmtId="0" fontId="49" fillId="37" borderId="45" xfId="0" applyFont="1" applyFill="1" applyBorder="1" applyAlignment="1" applyProtection="1">
      <alignment horizontal="center" vertical="center"/>
      <protection hidden="1"/>
    </xf>
    <xf numFmtId="2" fontId="49" fillId="38" borderId="20" xfId="0" applyNumberFormat="1" applyFont="1" applyFill="1" applyBorder="1" applyAlignment="1" applyProtection="1">
      <alignment/>
      <protection hidden="1"/>
    </xf>
    <xf numFmtId="207" fontId="120" fillId="38" borderId="21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7" fillId="0" borderId="0" xfId="48" applyFill="1" applyProtection="1">
      <alignment/>
      <protection hidden="1"/>
    </xf>
    <xf numFmtId="2" fontId="49" fillId="37" borderId="33" xfId="0" applyNumberFormat="1" applyFont="1" applyFill="1" applyBorder="1" applyAlignment="1" applyProtection="1">
      <alignment/>
      <protection hidden="1"/>
    </xf>
    <xf numFmtId="0" fontId="27" fillId="0" borderId="0" xfId="48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123" fillId="0" borderId="41" xfId="0" applyFont="1" applyBorder="1" applyAlignment="1" applyProtection="1">
      <alignment horizontal="left"/>
      <protection hidden="1"/>
    </xf>
    <xf numFmtId="208" fontId="124" fillId="0" borderId="14" xfId="0" applyNumberFormat="1" applyFont="1" applyBorder="1" applyAlignment="1" applyProtection="1">
      <alignment horizontal="center"/>
      <protection hidden="1"/>
    </xf>
    <xf numFmtId="207" fontId="124" fillId="0" borderId="14" xfId="0" applyNumberFormat="1" applyFont="1" applyBorder="1" applyAlignment="1" applyProtection="1">
      <alignment horizontal="center"/>
      <protection hidden="1"/>
    </xf>
    <xf numFmtId="207" fontId="124" fillId="0" borderId="42" xfId="0" applyNumberFormat="1" applyFont="1" applyBorder="1" applyAlignment="1" applyProtection="1">
      <alignment horizontal="center"/>
      <protection hidden="1"/>
    </xf>
    <xf numFmtId="168" fontId="124" fillId="0" borderId="28" xfId="0" applyNumberFormat="1" applyFont="1" applyBorder="1" applyAlignment="1" applyProtection="1">
      <alignment horizontal="center"/>
      <protection hidden="1"/>
    </xf>
    <xf numFmtId="0" fontId="120" fillId="0" borderId="0" xfId="0" applyFont="1" applyBorder="1" applyAlignment="1" applyProtection="1">
      <alignment horizontal="left" vertical="center"/>
      <protection hidden="1"/>
    </xf>
    <xf numFmtId="0" fontId="123" fillId="0" borderId="46" xfId="0" applyFont="1" applyBorder="1" applyAlignment="1" applyProtection="1">
      <alignment horizontal="left"/>
      <protection hidden="1"/>
    </xf>
    <xf numFmtId="208" fontId="124" fillId="0" borderId="29" xfId="0" applyNumberFormat="1" applyFont="1" applyBorder="1" applyAlignment="1" applyProtection="1">
      <alignment horizontal="center"/>
      <protection hidden="1"/>
    </xf>
    <xf numFmtId="207" fontId="124" fillId="0" borderId="29" xfId="0" applyNumberFormat="1" applyFont="1" applyBorder="1" applyAlignment="1" applyProtection="1">
      <alignment horizontal="center"/>
      <protection hidden="1"/>
    </xf>
    <xf numFmtId="0" fontId="124" fillId="0" borderId="47" xfId="48" applyFont="1" applyFill="1" applyBorder="1" applyAlignment="1" applyProtection="1">
      <alignment horizontal="center"/>
      <protection hidden="1"/>
    </xf>
    <xf numFmtId="196" fontId="124" fillId="0" borderId="30" xfId="0" applyNumberFormat="1" applyFont="1" applyBorder="1" applyAlignment="1" applyProtection="1">
      <alignment horizontal="center"/>
      <protection hidden="1"/>
    </xf>
    <xf numFmtId="0" fontId="49" fillId="0" borderId="13" xfId="48" applyFont="1" applyFill="1" applyBorder="1" applyProtection="1">
      <alignment/>
      <protection hidden="1"/>
    </xf>
    <xf numFmtId="0" fontId="65" fillId="37" borderId="21" xfId="48" applyFont="1" applyFill="1" applyBorder="1" applyAlignment="1" applyProtection="1">
      <alignment horizontal="center" vertical="center"/>
      <protection hidden="1"/>
    </xf>
    <xf numFmtId="0" fontId="65" fillId="37" borderId="25" xfId="48" applyFont="1" applyFill="1" applyBorder="1" applyAlignment="1" applyProtection="1">
      <alignment horizontal="center" vertical="center"/>
      <protection hidden="1"/>
    </xf>
    <xf numFmtId="0" fontId="65" fillId="37" borderId="26" xfId="48" applyFont="1" applyFill="1" applyBorder="1" applyAlignment="1" applyProtection="1">
      <alignment horizontal="center" vertical="center"/>
      <protection hidden="1"/>
    </xf>
    <xf numFmtId="208" fontId="125" fillId="0" borderId="14" xfId="0" applyNumberFormat="1" applyFont="1" applyBorder="1" applyAlignment="1" applyProtection="1">
      <alignment horizontal="right"/>
      <protection hidden="1"/>
    </xf>
    <xf numFmtId="208" fontId="125" fillId="0" borderId="14" xfId="0" applyNumberFormat="1" applyFont="1" applyBorder="1" applyAlignment="1" applyProtection="1">
      <alignment/>
      <protection hidden="1"/>
    </xf>
    <xf numFmtId="208" fontId="126" fillId="0" borderId="14" xfId="0" applyNumberFormat="1" applyFont="1" applyBorder="1" applyAlignment="1" applyProtection="1">
      <alignment/>
      <protection hidden="1"/>
    </xf>
    <xf numFmtId="0" fontId="65" fillId="37" borderId="28" xfId="48" applyFont="1" applyFill="1" applyBorder="1" applyAlignment="1" applyProtection="1">
      <alignment horizontal="center" vertical="center"/>
      <protection hidden="1"/>
    </xf>
    <xf numFmtId="0" fontId="65" fillId="37" borderId="27" xfId="48" applyFont="1" applyFill="1" applyBorder="1" applyAlignment="1" applyProtection="1">
      <alignment horizontal="center" vertical="center"/>
      <protection hidden="1"/>
    </xf>
    <xf numFmtId="0" fontId="8" fillId="0" borderId="29" xfId="48" applyFont="1" applyFill="1" applyBorder="1" applyAlignment="1" applyProtection="1">
      <alignment horizontal="right"/>
      <protection hidden="1"/>
    </xf>
    <xf numFmtId="0" fontId="125" fillId="0" borderId="29" xfId="0" applyFont="1" applyBorder="1" applyAlignment="1" applyProtection="1">
      <alignment horizontal="right"/>
      <protection hidden="1"/>
    </xf>
    <xf numFmtId="0" fontId="65" fillId="37" borderId="30" xfId="48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/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2" fontId="0" fillId="0" borderId="22" xfId="0" applyNumberFormat="1" applyBorder="1" applyAlignment="1" applyProtection="1">
      <alignment horizontal="right"/>
      <protection hidden="1"/>
    </xf>
    <xf numFmtId="207" fontId="2" fillId="0" borderId="48" xfId="0" applyNumberFormat="1" applyFont="1" applyFill="1" applyBorder="1" applyAlignment="1" applyProtection="1">
      <alignment horizontal="center" vertical="center"/>
      <protection hidden="1" locked="0"/>
    </xf>
    <xf numFmtId="207" fontId="2" fillId="0" borderId="49" xfId="0" applyNumberFormat="1" applyFont="1" applyFill="1" applyBorder="1" applyAlignment="1" applyProtection="1">
      <alignment horizontal="center" vertical="center"/>
      <protection hidden="1" locked="0"/>
    </xf>
    <xf numFmtId="207" fontId="2" fillId="0" borderId="49" xfId="0" applyNumberFormat="1" applyFont="1" applyFill="1" applyBorder="1" applyAlignment="1" applyProtection="1">
      <alignment horizontal="center" vertical="center"/>
      <protection hidden="1"/>
    </xf>
    <xf numFmtId="214" fontId="119" fillId="0" borderId="20" xfId="0" applyNumberFormat="1" applyFont="1" applyFill="1" applyBorder="1" applyAlignment="1" applyProtection="1">
      <alignment vertical="center"/>
      <protection hidden="1"/>
    </xf>
    <xf numFmtId="0" fontId="32" fillId="33" borderId="50" xfId="48" applyFont="1" applyFill="1" applyBorder="1" applyAlignment="1" applyProtection="1">
      <alignment horizontal="right"/>
      <protection hidden="1"/>
    </xf>
    <xf numFmtId="0" fontId="32" fillId="33" borderId="51" xfId="48" applyFont="1" applyFill="1" applyBorder="1" applyAlignment="1" applyProtection="1">
      <alignment horizontal="right"/>
      <protection hidden="1"/>
    </xf>
    <xf numFmtId="0" fontId="33" fillId="33" borderId="51" xfId="48" applyFont="1" applyFill="1" applyBorder="1" applyAlignment="1" applyProtection="1">
      <alignment horizontal="right"/>
      <protection hidden="1"/>
    </xf>
    <xf numFmtId="0" fontId="32" fillId="33" borderId="52" xfId="48" applyFont="1" applyFill="1" applyBorder="1" applyAlignment="1" applyProtection="1">
      <alignment horizontal="right"/>
      <protection hidden="1"/>
    </xf>
    <xf numFmtId="207" fontId="2" fillId="0" borderId="53" xfId="0" applyNumberFormat="1" applyFont="1" applyBorder="1" applyAlignment="1" applyProtection="1">
      <alignment horizontal="left" vertical="center" indent="1"/>
      <protection hidden="1"/>
    </xf>
    <xf numFmtId="207" fontId="2" fillId="0" borderId="54" xfId="0" applyNumberFormat="1" applyFont="1" applyBorder="1" applyAlignment="1" applyProtection="1">
      <alignment horizontal="left" vertical="center" indent="1"/>
      <protection hidden="1"/>
    </xf>
    <xf numFmtId="210" fontId="2" fillId="0" borderId="54" xfId="48" applyNumberFormat="1" applyFont="1" applyFill="1" applyBorder="1" applyAlignment="1" applyProtection="1">
      <alignment horizontal="left" vertical="center" indent="1"/>
      <protection hidden="1"/>
    </xf>
    <xf numFmtId="0" fontId="2" fillId="0" borderId="55" xfId="48" applyFont="1" applyFill="1" applyBorder="1" applyAlignment="1" applyProtection="1">
      <alignment horizontal="left" vertical="center" indent="1"/>
      <protection hidden="1"/>
    </xf>
    <xf numFmtId="0" fontId="13" fillId="33" borderId="56" xfId="0" applyFont="1" applyFill="1" applyBorder="1" applyAlignment="1" applyProtection="1">
      <alignment horizontal="center" vertical="center"/>
      <protection hidden="1"/>
    </xf>
    <xf numFmtId="0" fontId="125" fillId="0" borderId="42" xfId="0" applyFont="1" applyBorder="1" applyAlignment="1" applyProtection="1">
      <alignment horizontal="center"/>
      <protection hidden="1"/>
    </xf>
    <xf numFmtId="0" fontId="125" fillId="0" borderId="16" xfId="0" applyFont="1" applyBorder="1" applyAlignment="1" applyProtection="1">
      <alignment horizontal="center"/>
      <protection hidden="1"/>
    </xf>
    <xf numFmtId="0" fontId="7" fillId="38" borderId="14" xfId="0" applyFont="1" applyFill="1" applyBorder="1" applyAlignment="1" applyProtection="1">
      <alignment horizontal="center" vertical="center"/>
      <protection hidden="1"/>
    </xf>
    <xf numFmtId="211" fontId="6" fillId="0" borderId="28" xfId="0" applyNumberFormat="1" applyFont="1" applyFill="1" applyBorder="1" applyAlignment="1" applyProtection="1">
      <alignment horizontal="center" vertical="center"/>
      <protection hidden="1"/>
    </xf>
    <xf numFmtId="0" fontId="7" fillId="38" borderId="29" xfId="0" applyFont="1" applyFill="1" applyBorder="1" applyAlignment="1" applyProtection="1">
      <alignment horizontal="center" vertical="center"/>
      <protection hidden="1"/>
    </xf>
    <xf numFmtId="211" fontId="6" fillId="0" borderId="30" xfId="0" applyNumberFormat="1" applyFont="1" applyFill="1" applyBorder="1" applyAlignment="1" applyProtection="1">
      <alignment horizontal="center" vertical="center"/>
      <protection hidden="1"/>
    </xf>
    <xf numFmtId="211" fontId="2" fillId="0" borderId="28" xfId="0" applyNumberFormat="1" applyFont="1" applyFill="1" applyBorder="1" applyAlignment="1" applyProtection="1">
      <alignment horizontal="center" vertical="center"/>
      <protection hidden="1"/>
    </xf>
    <xf numFmtId="211" fontId="2" fillId="0" borderId="30" xfId="0" applyNumberFormat="1" applyFont="1" applyFill="1" applyBorder="1" applyAlignment="1" applyProtection="1">
      <alignment horizontal="center" vertical="center"/>
      <protection hidden="1"/>
    </xf>
    <xf numFmtId="207" fontId="120" fillId="38" borderId="25" xfId="0" applyNumberFormat="1" applyFont="1" applyFill="1" applyBorder="1" applyAlignment="1" applyProtection="1">
      <alignment/>
      <protection hidden="1"/>
    </xf>
    <xf numFmtId="211" fontId="2" fillId="0" borderId="26" xfId="0" applyNumberFormat="1" applyFont="1" applyFill="1" applyBorder="1" applyAlignment="1" applyProtection="1">
      <alignment horizontal="center" vertical="center"/>
      <protection hidden="1"/>
    </xf>
    <xf numFmtId="0" fontId="7" fillId="38" borderId="28" xfId="0" applyFont="1" applyFill="1" applyBorder="1" applyAlignment="1" applyProtection="1">
      <alignment horizontal="right" vertical="center"/>
      <protection hidden="1"/>
    </xf>
    <xf numFmtId="211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7" fillId="38" borderId="30" xfId="0" applyFont="1" applyFill="1" applyBorder="1" applyAlignment="1" applyProtection="1">
      <alignment horizontal="right" vertical="center"/>
      <protection hidden="1"/>
    </xf>
    <xf numFmtId="207" fontId="120" fillId="33" borderId="57" xfId="0" applyNumberFormat="1" applyFon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 horizontal="right"/>
      <protection hidden="1"/>
    </xf>
    <xf numFmtId="2" fontId="0" fillId="0" borderId="31" xfId="0" applyNumberFormat="1" applyBorder="1" applyAlignment="1" applyProtection="1">
      <alignment horizontal="right"/>
      <protection hidden="1"/>
    </xf>
    <xf numFmtId="0" fontId="127" fillId="36" borderId="0" xfId="0" applyFont="1" applyFill="1" applyBorder="1" applyAlignment="1" applyProtection="1">
      <alignment horizontal="left" vertical="center"/>
      <protection hidden="1"/>
    </xf>
    <xf numFmtId="0" fontId="128" fillId="36" borderId="0" xfId="0" applyFont="1" applyFill="1" applyBorder="1" applyAlignment="1" applyProtection="1">
      <alignment horizontal="right" vertical="center"/>
      <protection hidden="1"/>
    </xf>
    <xf numFmtId="0" fontId="65" fillId="37" borderId="24" xfId="0" applyFont="1" applyFill="1" applyBorder="1" applyAlignment="1" applyProtection="1">
      <alignment horizontal="center" vertical="center"/>
      <protection hidden="1"/>
    </xf>
    <xf numFmtId="0" fontId="65" fillId="0" borderId="0" xfId="62" applyFont="1" applyFill="1" applyBorder="1" applyAlignment="1" applyProtection="1">
      <alignment horizontal="center" vertical="center"/>
      <protection hidden="1"/>
    </xf>
    <xf numFmtId="1" fontId="49" fillId="0" borderId="0" xfId="0" applyNumberFormat="1" applyFont="1" applyFill="1" applyBorder="1" applyAlignment="1" applyProtection="1">
      <alignment horizontal="center" vertical="center"/>
      <protection hidden="1"/>
    </xf>
    <xf numFmtId="2" fontId="49" fillId="0" borderId="0" xfId="0" applyNumberFormat="1" applyFont="1" applyFill="1" applyBorder="1" applyAlignment="1" applyProtection="1">
      <alignment horizontal="center"/>
      <protection hidden="1"/>
    </xf>
    <xf numFmtId="0" fontId="65" fillId="0" borderId="0" xfId="0" applyFont="1" applyFill="1" applyBorder="1" applyAlignment="1" applyProtection="1">
      <alignment horizontal="center" vertical="center"/>
      <protection hidden="1"/>
    </xf>
    <xf numFmtId="0" fontId="65" fillId="0" borderId="0" xfId="0" applyFont="1" applyFill="1" applyBorder="1" applyAlignment="1" applyProtection="1">
      <alignment horizontal="center" vertical="center"/>
      <protection hidden="1"/>
    </xf>
    <xf numFmtId="0" fontId="129" fillId="36" borderId="0" xfId="0" applyFont="1" applyFill="1" applyAlignment="1" applyProtection="1">
      <alignment/>
      <protection hidden="1"/>
    </xf>
    <xf numFmtId="184" fontId="129" fillId="36" borderId="0" xfId="0" applyNumberFormat="1" applyFont="1" applyFill="1" applyAlignment="1" applyProtection="1">
      <alignment horizontal="center"/>
      <protection hidden="1"/>
    </xf>
    <xf numFmtId="222" fontId="129" fillId="36" borderId="0" xfId="0" applyNumberFormat="1" applyFont="1" applyFill="1" applyAlignment="1" applyProtection="1">
      <alignment horizontal="center"/>
      <protection hidden="1"/>
    </xf>
    <xf numFmtId="0" fontId="129" fillId="36" borderId="0" xfId="0" applyFont="1" applyFill="1" applyAlignment="1" applyProtection="1">
      <alignment horizontal="center"/>
      <protection hidden="1"/>
    </xf>
    <xf numFmtId="0" fontId="129" fillId="0" borderId="0" xfId="0" applyFont="1" applyAlignment="1" applyProtection="1">
      <alignment/>
      <protection hidden="1"/>
    </xf>
    <xf numFmtId="223" fontId="130" fillId="36" borderId="0" xfId="0" applyNumberFormat="1" applyFont="1" applyFill="1" applyBorder="1" applyAlignment="1" applyProtection="1">
      <alignment horizontal="left"/>
      <protection hidden="1"/>
    </xf>
    <xf numFmtId="223" fontId="130" fillId="36" borderId="0" xfId="0" applyNumberFormat="1" applyFont="1" applyFill="1" applyBorder="1" applyAlignment="1" applyProtection="1">
      <alignment horizontal="center"/>
      <protection hidden="1"/>
    </xf>
    <xf numFmtId="224" fontId="129" fillId="0" borderId="0" xfId="0" applyNumberFormat="1" applyFont="1" applyAlignment="1" applyProtection="1">
      <alignment/>
      <protection hidden="1"/>
    </xf>
    <xf numFmtId="2" fontId="129" fillId="0" borderId="0" xfId="0" applyNumberFormat="1" applyFont="1" applyAlignment="1" applyProtection="1">
      <alignment/>
      <protection hidden="1"/>
    </xf>
    <xf numFmtId="225" fontId="129" fillId="0" borderId="0" xfId="0" applyNumberFormat="1" applyFont="1" applyAlignment="1" applyProtection="1">
      <alignment/>
      <protection hidden="1"/>
    </xf>
    <xf numFmtId="184" fontId="131" fillId="36" borderId="58" xfId="0" applyNumberFormat="1" applyFont="1" applyFill="1" applyBorder="1" applyAlignment="1" applyProtection="1">
      <alignment horizontal="center"/>
      <protection hidden="1"/>
    </xf>
    <xf numFmtId="222" fontId="131" fillId="36" borderId="59" xfId="0" applyNumberFormat="1" applyFont="1" applyFill="1" applyBorder="1" applyAlignment="1" applyProtection="1" quotePrefix="1">
      <alignment horizontal="center"/>
      <protection hidden="1"/>
    </xf>
    <xf numFmtId="0" fontId="131" fillId="36" borderId="60" xfId="0" applyFont="1" applyFill="1" applyBorder="1" applyAlignment="1" applyProtection="1" quotePrefix="1">
      <alignment horizontal="center"/>
      <protection hidden="1"/>
    </xf>
    <xf numFmtId="0" fontId="131" fillId="36" borderId="61" xfId="0" applyFont="1" applyFill="1" applyBorder="1" applyAlignment="1" applyProtection="1" quotePrefix="1">
      <alignment horizontal="center"/>
      <protection hidden="1"/>
    </xf>
    <xf numFmtId="0" fontId="131" fillId="36" borderId="48" xfId="0" applyFont="1" applyFill="1" applyBorder="1" applyAlignment="1" applyProtection="1" quotePrefix="1">
      <alignment horizontal="center"/>
      <protection hidden="1"/>
    </xf>
    <xf numFmtId="184" fontId="129" fillId="36" borderId="36" xfId="0" applyNumberFormat="1" applyFont="1" applyFill="1" applyBorder="1" applyAlignment="1" applyProtection="1">
      <alignment horizontal="center"/>
      <protection hidden="1"/>
    </xf>
    <xf numFmtId="222" fontId="129" fillId="36" borderId="37" xfId="0" applyNumberFormat="1" applyFont="1" applyFill="1" applyBorder="1" applyAlignment="1" applyProtection="1">
      <alignment horizontal="center"/>
      <protection hidden="1"/>
    </xf>
    <xf numFmtId="0" fontId="129" fillId="36" borderId="62" xfId="0" applyFont="1" applyFill="1" applyBorder="1" applyAlignment="1" applyProtection="1">
      <alignment horizontal="center"/>
      <protection hidden="1"/>
    </xf>
    <xf numFmtId="0" fontId="129" fillId="36" borderId="63" xfId="0" applyFont="1" applyFill="1" applyBorder="1" applyAlignment="1" applyProtection="1">
      <alignment horizontal="center"/>
      <protection hidden="1"/>
    </xf>
    <xf numFmtId="0" fontId="129" fillId="36" borderId="22" xfId="0" applyFont="1" applyFill="1" applyBorder="1" applyAlignment="1" applyProtection="1">
      <alignment horizontal="center"/>
      <protection hidden="1"/>
    </xf>
    <xf numFmtId="184" fontId="129" fillId="36" borderId="19" xfId="0" applyNumberFormat="1" applyFont="1" applyFill="1" applyBorder="1" applyAlignment="1" applyProtection="1">
      <alignment horizontal="center"/>
      <protection hidden="1"/>
    </xf>
    <xf numFmtId="226" fontId="129" fillId="36" borderId="37" xfId="0" applyNumberFormat="1" applyFont="1" applyFill="1" applyBorder="1" applyAlignment="1" applyProtection="1">
      <alignment horizontal="center"/>
      <protection hidden="1"/>
    </xf>
    <xf numFmtId="226" fontId="129" fillId="36" borderId="63" xfId="0" applyNumberFormat="1" applyFont="1" applyFill="1" applyBorder="1" applyAlignment="1" applyProtection="1">
      <alignment horizontal="center"/>
      <protection hidden="1"/>
    </xf>
    <xf numFmtId="184" fontId="129" fillId="36" borderId="41" xfId="0" applyNumberFormat="1" applyFont="1" applyFill="1" applyBorder="1" applyAlignment="1" applyProtection="1">
      <alignment horizontal="center"/>
      <protection hidden="1"/>
    </xf>
    <xf numFmtId="226" fontId="129" fillId="36" borderId="62" xfId="0" applyNumberFormat="1" applyFont="1" applyFill="1" applyBorder="1" applyAlignment="1" applyProtection="1">
      <alignment horizontal="center"/>
      <protection hidden="1"/>
    </xf>
    <xf numFmtId="226" fontId="129" fillId="36" borderId="22" xfId="0" applyNumberFormat="1" applyFont="1" applyFill="1" applyBorder="1" applyAlignment="1" applyProtection="1">
      <alignment horizontal="center"/>
      <protection hidden="1"/>
    </xf>
    <xf numFmtId="224" fontId="129" fillId="36" borderId="0" xfId="0" applyNumberFormat="1" applyFont="1" applyFill="1" applyAlignment="1" applyProtection="1">
      <alignment/>
      <protection hidden="1"/>
    </xf>
    <xf numFmtId="207" fontId="129" fillId="0" borderId="0" xfId="0" applyNumberFormat="1" applyFont="1" applyAlignment="1" applyProtection="1">
      <alignment/>
      <protection hidden="1"/>
    </xf>
    <xf numFmtId="184" fontId="129" fillId="36" borderId="46" xfId="0" applyNumberFormat="1" applyFont="1" applyFill="1" applyBorder="1" applyAlignment="1" applyProtection="1">
      <alignment horizontal="center"/>
      <protection hidden="1"/>
    </xf>
    <xf numFmtId="184" fontId="129" fillId="36" borderId="64" xfId="0" applyNumberFormat="1" applyFont="1" applyFill="1" applyBorder="1" applyAlignment="1" applyProtection="1">
      <alignment horizontal="center"/>
      <protection hidden="1"/>
    </xf>
    <xf numFmtId="222" fontId="129" fillId="36" borderId="65" xfId="0" applyNumberFormat="1" applyFont="1" applyFill="1" applyBorder="1" applyAlignment="1" applyProtection="1">
      <alignment horizontal="center"/>
      <protection hidden="1"/>
    </xf>
    <xf numFmtId="226" fontId="129" fillId="36" borderId="66" xfId="0" applyNumberFormat="1" applyFont="1" applyFill="1" applyBorder="1" applyAlignment="1" applyProtection="1">
      <alignment horizontal="center"/>
      <protection hidden="1"/>
    </xf>
    <xf numFmtId="226" fontId="129" fillId="36" borderId="67" xfId="0" applyNumberFormat="1" applyFont="1" applyFill="1" applyBorder="1" applyAlignment="1" applyProtection="1">
      <alignment horizontal="center"/>
      <protection hidden="1"/>
    </xf>
    <xf numFmtId="184" fontId="129" fillId="0" borderId="0" xfId="0" applyNumberFormat="1" applyFont="1" applyAlignment="1" applyProtection="1">
      <alignment horizontal="center"/>
      <protection hidden="1"/>
    </xf>
    <xf numFmtId="222" fontId="129" fillId="0" borderId="0" xfId="0" applyNumberFormat="1" applyFont="1" applyAlignment="1" applyProtection="1">
      <alignment horizontal="center"/>
      <protection hidden="1"/>
    </xf>
    <xf numFmtId="0" fontId="129" fillId="0" borderId="0" xfId="0" applyFont="1" applyAlignment="1" applyProtection="1">
      <alignment horizontal="center"/>
      <protection hidden="1"/>
    </xf>
    <xf numFmtId="184" fontId="129" fillId="0" borderId="68" xfId="0" applyNumberFormat="1" applyFont="1" applyBorder="1" applyAlignment="1" applyProtection="1">
      <alignment horizontal="center"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Alignment="1" applyProtection="1">
      <alignment horizontal="right"/>
      <protection hidden="1"/>
    </xf>
    <xf numFmtId="0" fontId="103" fillId="36" borderId="14" xfId="0" applyFont="1" applyFill="1" applyBorder="1" applyAlignment="1" applyProtection="1">
      <alignment horizontal="center"/>
      <protection hidden="1"/>
    </xf>
    <xf numFmtId="0" fontId="103" fillId="36" borderId="42" xfId="0" applyFont="1" applyFill="1" applyBorder="1" applyAlignment="1" applyProtection="1">
      <alignment/>
      <protection hidden="1"/>
    </xf>
    <xf numFmtId="0" fontId="115" fillId="36" borderId="34" xfId="0" applyFont="1" applyFill="1" applyBorder="1" applyAlignment="1" applyProtection="1">
      <alignment horizontal="center"/>
      <protection hidden="1"/>
    </xf>
    <xf numFmtId="0" fontId="115" fillId="36" borderId="35" xfId="0" applyFont="1" applyFill="1" applyBorder="1" applyAlignment="1" applyProtection="1" quotePrefix="1">
      <alignment horizontal="center"/>
      <protection hidden="1"/>
    </xf>
    <xf numFmtId="0" fontId="115" fillId="36" borderId="69" xfId="0" applyFont="1" applyFill="1" applyBorder="1" applyAlignment="1" applyProtection="1" quotePrefix="1">
      <alignment horizontal="center"/>
      <protection hidden="1"/>
    </xf>
    <xf numFmtId="0" fontId="115" fillId="36" borderId="14" xfId="0" applyFont="1" applyFill="1" applyBorder="1" applyAlignment="1" applyProtection="1" quotePrefix="1">
      <alignment horizontal="center"/>
      <protection hidden="1"/>
    </xf>
    <xf numFmtId="0" fontId="0" fillId="36" borderId="34" xfId="0" applyFill="1" applyBorder="1" applyAlignment="1" applyProtection="1">
      <alignment horizontal="center"/>
      <protection hidden="1"/>
    </xf>
    <xf numFmtId="184" fontId="0" fillId="36" borderId="35" xfId="0" applyNumberFormat="1" applyFill="1" applyBorder="1" applyAlignment="1" applyProtection="1">
      <alignment horizontal="center"/>
      <protection hidden="1"/>
    </xf>
    <xf numFmtId="207" fontId="0" fillId="36" borderId="69" xfId="0" applyNumberFormat="1" applyFill="1" applyBorder="1" applyAlignment="1" applyProtection="1">
      <alignment horizontal="center"/>
      <protection hidden="1"/>
    </xf>
    <xf numFmtId="0" fontId="0" fillId="36" borderId="14" xfId="0" applyFill="1" applyBorder="1" applyAlignment="1" applyProtection="1">
      <alignment horizontal="center"/>
      <protection hidden="1"/>
    </xf>
    <xf numFmtId="207" fontId="0" fillId="36" borderId="14" xfId="0" applyNumberFormat="1" applyFill="1" applyBorder="1" applyAlignment="1" applyProtection="1">
      <alignment horizontal="center"/>
      <protection hidden="1"/>
    </xf>
    <xf numFmtId="1" fontId="0" fillId="36" borderId="14" xfId="0" applyNumberFormat="1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/>
      <protection hidden="1"/>
    </xf>
    <xf numFmtId="184" fontId="0" fillId="36" borderId="37" xfId="0" applyNumberFormat="1" applyFill="1" applyBorder="1" applyAlignment="1" applyProtection="1">
      <alignment horizontal="center"/>
      <protection hidden="1"/>
    </xf>
    <xf numFmtId="207" fontId="0" fillId="36" borderId="62" xfId="0" applyNumberFormat="1" applyFill="1" applyBorder="1" applyAlignment="1" applyProtection="1">
      <alignment horizontal="center"/>
      <protection hidden="1"/>
    </xf>
    <xf numFmtId="0" fontId="0" fillId="36" borderId="38" xfId="0" applyFill="1" applyBorder="1" applyAlignment="1" applyProtection="1">
      <alignment horizontal="center"/>
      <protection hidden="1"/>
    </xf>
    <xf numFmtId="184" fontId="0" fillId="36" borderId="39" xfId="0" applyNumberFormat="1" applyFill="1" applyBorder="1" applyAlignment="1" applyProtection="1">
      <alignment horizontal="center"/>
      <protection hidden="1"/>
    </xf>
    <xf numFmtId="207" fontId="0" fillId="36" borderId="70" xfId="0" applyNumberFormat="1" applyFill="1" applyBorder="1" applyAlignment="1" applyProtection="1">
      <alignment horizontal="center"/>
      <protection hidden="1"/>
    </xf>
    <xf numFmtId="0" fontId="103" fillId="13" borderId="14" xfId="0" applyFont="1" applyFill="1" applyBorder="1" applyAlignment="1" applyProtection="1">
      <alignment horizontal="center"/>
      <protection hidden="1"/>
    </xf>
    <xf numFmtId="0" fontId="103" fillId="10" borderId="42" xfId="0" applyFont="1" applyFill="1" applyBorder="1" applyAlignment="1" applyProtection="1">
      <alignment horizontal="center"/>
      <protection hidden="1"/>
    </xf>
    <xf numFmtId="0" fontId="132" fillId="10" borderId="42" xfId="0" applyFont="1" applyFill="1" applyBorder="1" applyAlignment="1" applyProtection="1">
      <alignment horizontal="center"/>
      <protection hidden="1"/>
    </xf>
    <xf numFmtId="0" fontId="132" fillId="10" borderId="17" xfId="0" applyFont="1" applyFill="1" applyBorder="1" applyAlignment="1" applyProtection="1" quotePrefix="1">
      <alignment horizontal="center"/>
      <protection hidden="1"/>
    </xf>
    <xf numFmtId="0" fontId="132" fillId="13" borderId="14" xfId="0" applyFont="1" applyFill="1" applyBorder="1" applyAlignment="1" applyProtection="1" quotePrefix="1">
      <alignment horizontal="center"/>
      <protection hidden="1"/>
    </xf>
    <xf numFmtId="207" fontId="0" fillId="13" borderId="14" xfId="0" applyNumberFormat="1" applyFill="1" applyBorder="1" applyAlignment="1" applyProtection="1">
      <alignment horizontal="center"/>
      <protection hidden="1"/>
    </xf>
    <xf numFmtId="207" fontId="132" fillId="13" borderId="14" xfId="0" applyNumberFormat="1" applyFont="1" applyFill="1" applyBorder="1" applyAlignment="1" applyProtection="1" quotePrefix="1">
      <alignment horizontal="center"/>
      <protection hidden="1"/>
    </xf>
    <xf numFmtId="216" fontId="103" fillId="36" borderId="14" xfId="0" applyNumberFormat="1" applyFont="1" applyFill="1" applyBorder="1" applyAlignment="1" applyProtection="1">
      <alignment horizontal="center"/>
      <protection hidden="1"/>
    </xf>
    <xf numFmtId="217" fontId="133" fillId="36" borderId="14" xfId="0" applyNumberFormat="1" applyFont="1" applyFill="1" applyBorder="1" applyAlignment="1" applyProtection="1">
      <alignment horizontal="center"/>
      <protection hidden="1"/>
    </xf>
    <xf numFmtId="218" fontId="133" fillId="36" borderId="14" xfId="0" applyNumberFormat="1" applyFont="1" applyFill="1" applyBorder="1" applyAlignment="1" applyProtection="1">
      <alignment horizontal="center"/>
      <protection hidden="1"/>
    </xf>
    <xf numFmtId="219" fontId="133" fillId="36" borderId="14" xfId="0" applyNumberFormat="1" applyFont="1" applyFill="1" applyBorder="1" applyAlignment="1" applyProtection="1">
      <alignment horizontal="center"/>
      <protection hidden="1"/>
    </xf>
    <xf numFmtId="196" fontId="0" fillId="36" borderId="14" xfId="0" applyNumberFormat="1" applyFill="1" applyBorder="1" applyAlignment="1" applyProtection="1">
      <alignment horizontal="center"/>
      <protection hidden="1"/>
    </xf>
    <xf numFmtId="0" fontId="0" fillId="36" borderId="71" xfId="0" applyFill="1" applyBorder="1" applyAlignment="1" applyProtection="1">
      <alignment/>
      <protection hidden="1"/>
    </xf>
    <xf numFmtId="0" fontId="0" fillId="36" borderId="33" xfId="0" applyFill="1" applyBorder="1" applyAlignment="1" applyProtection="1">
      <alignment/>
      <protection hidden="1"/>
    </xf>
    <xf numFmtId="0" fontId="115" fillId="36" borderId="33" xfId="0" applyFont="1" applyFill="1" applyBorder="1" applyAlignment="1" applyProtection="1">
      <alignment/>
      <protection hidden="1"/>
    </xf>
    <xf numFmtId="221" fontId="103" fillId="36" borderId="14" xfId="0" applyNumberFormat="1" applyFont="1" applyFill="1" applyBorder="1" applyAlignment="1" applyProtection="1">
      <alignment horizontal="center"/>
      <protection hidden="1"/>
    </xf>
    <xf numFmtId="221" fontId="0" fillId="36" borderId="0" xfId="0" applyNumberFormat="1" applyFill="1" applyAlignment="1" applyProtection="1">
      <alignment horizontal="center"/>
      <protection hidden="1"/>
    </xf>
    <xf numFmtId="220" fontId="103" fillId="36" borderId="14" xfId="0" applyNumberFormat="1" applyFont="1" applyFill="1" applyBorder="1" applyAlignment="1" applyProtection="1">
      <alignment horizontal="center"/>
      <protection hidden="1"/>
    </xf>
    <xf numFmtId="0" fontId="134" fillId="36" borderId="14" xfId="0" applyFont="1" applyFill="1" applyBorder="1" applyAlignment="1" applyProtection="1">
      <alignment horizontal="center"/>
      <protection hidden="1"/>
    </xf>
    <xf numFmtId="0" fontId="135" fillId="36" borderId="14" xfId="0" applyFont="1" applyFill="1" applyBorder="1" applyAlignment="1" applyProtection="1" quotePrefix="1">
      <alignment horizontal="center"/>
      <protection hidden="1"/>
    </xf>
    <xf numFmtId="0" fontId="135" fillId="36" borderId="14" xfId="0" applyFont="1" applyFill="1" applyBorder="1" applyAlignment="1" applyProtection="1">
      <alignment horizontal="center"/>
      <protection hidden="1"/>
    </xf>
    <xf numFmtId="0" fontId="0" fillId="10" borderId="42" xfId="0" applyFill="1" applyBorder="1" applyAlignment="1" applyProtection="1">
      <alignment horizontal="center"/>
      <protection locked="0"/>
    </xf>
    <xf numFmtId="0" fontId="0" fillId="10" borderId="17" xfId="0" applyFill="1" applyBorder="1" applyAlignment="1" applyProtection="1">
      <alignment horizontal="center"/>
      <protection locked="0"/>
    </xf>
    <xf numFmtId="0" fontId="103" fillId="36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vertical="top"/>
      <protection hidden="1"/>
    </xf>
    <xf numFmtId="0" fontId="103" fillId="36" borderId="0" xfId="0" applyFont="1" applyFill="1" applyAlignment="1" applyProtection="1">
      <alignment vertical="top"/>
      <protection hidden="1"/>
    </xf>
    <xf numFmtId="0" fontId="135" fillId="36" borderId="0" xfId="0" applyFont="1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36" borderId="0" xfId="0" applyFill="1" applyAlignment="1" applyProtection="1">
      <alignment vertical="center"/>
      <protection hidden="1"/>
    </xf>
    <xf numFmtId="0" fontId="103" fillId="36" borderId="0" xfId="0" applyFont="1" applyFill="1" applyAlignment="1" applyProtection="1">
      <alignment vertical="center"/>
      <protection hidden="1"/>
    </xf>
    <xf numFmtId="0" fontId="103" fillId="36" borderId="21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36" borderId="0" xfId="0" applyFill="1" applyAlignment="1" applyProtection="1">
      <alignment/>
      <protection hidden="1"/>
    </xf>
    <xf numFmtId="0" fontId="103" fillId="36" borderId="0" xfId="0" applyFont="1" applyFill="1" applyAlignment="1" applyProtection="1">
      <alignment/>
      <protection hidden="1"/>
    </xf>
    <xf numFmtId="0" fontId="0" fillId="36" borderId="72" xfId="0" applyFill="1" applyBorder="1" applyAlignment="1" applyProtection="1">
      <alignment/>
      <protection hidden="1"/>
    </xf>
    <xf numFmtId="0" fontId="135" fillId="36" borderId="36" xfId="0" applyFont="1" applyFill="1" applyBorder="1" applyAlignment="1" applyProtection="1">
      <alignment horizontal="center"/>
      <protection hidden="1"/>
    </xf>
    <xf numFmtId="0" fontId="0" fillId="36" borderId="37" xfId="0" applyFill="1" applyBorder="1" applyAlignment="1" applyProtection="1" quotePrefix="1">
      <alignment horizontal="center"/>
      <protection hidden="1"/>
    </xf>
    <xf numFmtId="0" fontId="0" fillId="36" borderId="22" xfId="0" applyFill="1" applyBorder="1" applyAlignment="1" applyProtection="1" quotePrefix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33" fillId="36" borderId="41" xfId="0" applyFont="1" applyFill="1" applyBorder="1" applyAlignment="1" applyProtection="1">
      <alignment/>
      <protection hidden="1"/>
    </xf>
    <xf numFmtId="183" fontId="0" fillId="36" borderId="36" xfId="0" applyNumberFormat="1" applyFill="1" applyBorder="1" applyAlignment="1" applyProtection="1">
      <alignment horizontal="center"/>
      <protection hidden="1"/>
    </xf>
    <xf numFmtId="184" fontId="0" fillId="36" borderId="22" xfId="0" applyNumberFormat="1" applyFill="1" applyBorder="1" applyAlignment="1" applyProtection="1">
      <alignment horizontal="center"/>
      <protection hidden="1"/>
    </xf>
    <xf numFmtId="0" fontId="133" fillId="36" borderId="46" xfId="0" applyFont="1" applyFill="1" applyBorder="1" applyAlignment="1" applyProtection="1">
      <alignment/>
      <protection hidden="1"/>
    </xf>
    <xf numFmtId="183" fontId="0" fillId="36" borderId="64" xfId="0" applyNumberFormat="1" applyFill="1" applyBorder="1" applyAlignment="1" applyProtection="1">
      <alignment horizontal="center"/>
      <protection hidden="1"/>
    </xf>
    <xf numFmtId="184" fontId="0" fillId="36" borderId="65" xfId="0" applyNumberFormat="1" applyFill="1" applyBorder="1" applyAlignment="1" applyProtection="1">
      <alignment horizontal="center"/>
      <protection hidden="1"/>
    </xf>
    <xf numFmtId="184" fontId="0" fillId="36" borderId="31" xfId="0" applyNumberFormat="1" applyFill="1" applyBorder="1" applyAlignment="1" applyProtection="1">
      <alignment horizontal="center"/>
      <protection hidden="1"/>
    </xf>
    <xf numFmtId="0" fontId="103" fillId="36" borderId="0" xfId="0" applyFont="1" applyFill="1" applyAlignment="1" applyProtection="1">
      <alignment horizontal="center"/>
      <protection hidden="1"/>
    </xf>
    <xf numFmtId="0" fontId="103" fillId="36" borderId="21" xfId="0" applyFont="1" applyFill="1" applyBorder="1" applyAlignment="1" applyProtection="1">
      <alignment horizontal="center"/>
      <protection hidden="1"/>
    </xf>
    <xf numFmtId="0" fontId="103" fillId="0" borderId="0" xfId="0" applyFont="1" applyAlignment="1" applyProtection="1">
      <alignment horizontal="center"/>
      <protection hidden="1"/>
    </xf>
    <xf numFmtId="0" fontId="103" fillId="36" borderId="72" xfId="0" applyFont="1" applyFill="1" applyBorder="1" applyAlignment="1" applyProtection="1">
      <alignment horizontal="center"/>
      <protection hidden="1"/>
    </xf>
    <xf numFmtId="0" fontId="135" fillId="36" borderId="34" xfId="0" applyFont="1" applyFill="1" applyBorder="1" applyAlignment="1" applyProtection="1">
      <alignment horizontal="center"/>
      <protection hidden="1"/>
    </xf>
    <xf numFmtId="0" fontId="0" fillId="36" borderId="35" xfId="0" applyFill="1" applyBorder="1" applyAlignment="1" applyProtection="1" quotePrefix="1">
      <alignment horizontal="center"/>
      <protection hidden="1"/>
    </xf>
    <xf numFmtId="0" fontId="135" fillId="36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184" fontId="103" fillId="36" borderId="41" xfId="0" applyNumberFormat="1" applyFont="1" applyFill="1" applyBorder="1" applyAlignment="1" applyProtection="1">
      <alignment horizontal="center"/>
      <protection hidden="1"/>
    </xf>
    <xf numFmtId="184" fontId="103" fillId="36" borderId="73" xfId="0" applyNumberFormat="1" applyFont="1" applyFill="1" applyBorder="1" applyAlignment="1" applyProtection="1">
      <alignment horizontal="center"/>
      <protection hidden="1"/>
    </xf>
    <xf numFmtId="183" fontId="0" fillId="36" borderId="38" xfId="0" applyNumberFormat="1" applyFill="1" applyBorder="1" applyAlignment="1" applyProtection="1">
      <alignment horizontal="center"/>
      <protection hidden="1"/>
    </xf>
    <xf numFmtId="184" fontId="0" fillId="36" borderId="44" xfId="0" applyNumberFormat="1" applyFill="1" applyBorder="1" applyAlignment="1" applyProtection="1">
      <alignment horizontal="center"/>
      <protection hidden="1"/>
    </xf>
    <xf numFmtId="0" fontId="103" fillId="36" borderId="26" xfId="0" applyFont="1" applyFill="1" applyBorder="1" applyAlignment="1" applyProtection="1">
      <alignment horizontal="center"/>
      <protection hidden="1"/>
    </xf>
    <xf numFmtId="184" fontId="103" fillId="36" borderId="46" xfId="0" applyNumberFormat="1" applyFont="1" applyFill="1" applyBorder="1" applyAlignment="1" applyProtection="1">
      <alignment horizontal="center"/>
      <protection hidden="1"/>
    </xf>
    <xf numFmtId="0" fontId="0" fillId="36" borderId="45" xfId="0" applyFill="1" applyBorder="1" applyAlignment="1" applyProtection="1">
      <alignment/>
      <protection hidden="1"/>
    </xf>
    <xf numFmtId="184" fontId="103" fillId="36" borderId="74" xfId="0" applyNumberFormat="1" applyFont="1" applyFill="1" applyBorder="1" applyAlignment="1" applyProtection="1">
      <alignment/>
      <protection hidden="1"/>
    </xf>
    <xf numFmtId="0" fontId="136" fillId="36" borderId="40" xfId="0" applyFont="1" applyFill="1" applyBorder="1" applyAlignment="1" applyProtection="1">
      <alignment horizontal="left" vertical="top"/>
      <protection hidden="1"/>
    </xf>
    <xf numFmtId="184" fontId="103" fillId="36" borderId="20" xfId="0" applyNumberFormat="1" applyFont="1" applyFill="1" applyBorder="1" applyAlignment="1" applyProtection="1">
      <alignment/>
      <protection hidden="1"/>
    </xf>
    <xf numFmtId="0" fontId="0" fillId="36" borderId="48" xfId="0" applyFill="1" applyBorder="1" applyAlignment="1" applyProtection="1">
      <alignment/>
      <protection hidden="1"/>
    </xf>
    <xf numFmtId="0" fontId="103" fillId="36" borderId="41" xfId="0" applyFont="1" applyFill="1" applyBorder="1" applyAlignment="1" applyProtection="1">
      <alignment horizontal="center"/>
      <protection hidden="1"/>
    </xf>
    <xf numFmtId="0" fontId="0" fillId="36" borderId="0" xfId="0" applyFill="1" applyBorder="1" applyAlignment="1" applyProtection="1" quotePrefix="1">
      <alignment horizontal="center"/>
      <protection hidden="1"/>
    </xf>
    <xf numFmtId="0" fontId="103" fillId="36" borderId="69" xfId="0" applyFont="1" applyFill="1" applyBorder="1" applyAlignment="1" applyProtection="1">
      <alignment horizontal="center"/>
      <protection hidden="1"/>
    </xf>
    <xf numFmtId="0" fontId="103" fillId="36" borderId="63" xfId="0" applyFont="1" applyFill="1" applyBorder="1" applyAlignment="1" applyProtection="1">
      <alignment horizontal="center"/>
      <protection hidden="1"/>
    </xf>
    <xf numFmtId="184" fontId="0" fillId="36" borderId="0" xfId="0" applyNumberFormat="1" applyFill="1" applyBorder="1" applyAlignment="1" applyProtection="1">
      <alignment horizontal="center"/>
      <protection hidden="1"/>
    </xf>
    <xf numFmtId="184" fontId="103" fillId="36" borderId="62" xfId="0" applyNumberFormat="1" applyFont="1" applyFill="1" applyBorder="1" applyAlignment="1" applyProtection="1">
      <alignment horizontal="center"/>
      <protection hidden="1"/>
    </xf>
    <xf numFmtId="184" fontId="103" fillId="36" borderId="63" xfId="0" applyNumberFormat="1" applyFont="1" applyFill="1" applyBorder="1" applyAlignment="1" applyProtection="1">
      <alignment horizontal="center"/>
      <protection hidden="1"/>
    </xf>
    <xf numFmtId="184" fontId="0" fillId="36" borderId="13" xfId="0" applyNumberFormat="1" applyFill="1" applyBorder="1" applyAlignment="1" applyProtection="1">
      <alignment horizontal="center"/>
      <protection hidden="1"/>
    </xf>
    <xf numFmtId="184" fontId="103" fillId="36" borderId="66" xfId="0" applyNumberFormat="1" applyFont="1" applyFill="1" applyBorder="1" applyAlignment="1" applyProtection="1">
      <alignment horizontal="center"/>
      <protection hidden="1"/>
    </xf>
    <xf numFmtId="184" fontId="103" fillId="36" borderId="67" xfId="0" applyNumberFormat="1" applyFont="1" applyFill="1" applyBorder="1" applyAlignment="1" applyProtection="1">
      <alignment horizontal="center"/>
      <protection hidden="1"/>
    </xf>
    <xf numFmtId="0" fontId="103" fillId="0" borderId="0" xfId="0" applyFont="1" applyAlignment="1" applyProtection="1">
      <alignment/>
      <protection hidden="1"/>
    </xf>
    <xf numFmtId="227" fontId="2" fillId="0" borderId="0" xfId="0" applyNumberFormat="1" applyFont="1" applyFill="1" applyBorder="1" applyAlignment="1" applyProtection="1">
      <alignment horizontal="left" vertical="center"/>
      <protection hidden="1"/>
    </xf>
    <xf numFmtId="0" fontId="103" fillId="10" borderId="14" xfId="0" applyFont="1" applyFill="1" applyBorder="1" applyAlignment="1" applyProtection="1">
      <alignment horizontal="center"/>
      <protection hidden="1"/>
    </xf>
    <xf numFmtId="0" fontId="132" fillId="10" borderId="14" xfId="0" applyFont="1" applyFill="1" applyBorder="1" applyAlignment="1" applyProtection="1">
      <alignment horizontal="center"/>
      <protection hidden="1"/>
    </xf>
    <xf numFmtId="0" fontId="0" fillId="10" borderId="14" xfId="0" applyFill="1" applyBorder="1" applyAlignment="1" applyProtection="1">
      <alignment horizontal="center"/>
      <protection locked="0"/>
    </xf>
    <xf numFmtId="221" fontId="103" fillId="36" borderId="75" xfId="0" applyNumberFormat="1" applyFont="1" applyFill="1" applyBorder="1" applyAlignment="1" applyProtection="1">
      <alignment horizontal="center"/>
      <protection hidden="1"/>
    </xf>
    <xf numFmtId="221" fontId="103" fillId="36" borderId="76" xfId="0" applyNumberFormat="1" applyFont="1" applyFill="1" applyBorder="1" applyAlignment="1" applyProtection="1">
      <alignment horizontal="center"/>
      <protection hidden="1"/>
    </xf>
    <xf numFmtId="220" fontId="103" fillId="36" borderId="69" xfId="0" applyNumberFormat="1" applyFont="1" applyFill="1" applyBorder="1" applyAlignment="1" applyProtection="1">
      <alignment/>
      <protection hidden="1"/>
    </xf>
    <xf numFmtId="196" fontId="0" fillId="36" borderId="32" xfId="0" applyNumberFormat="1" applyFill="1" applyBorder="1" applyAlignment="1" applyProtection="1">
      <alignment/>
      <protection hidden="1"/>
    </xf>
    <xf numFmtId="196" fontId="0" fillId="36" borderId="77" xfId="0" applyNumberFormat="1" applyFill="1" applyBorder="1" applyAlignment="1" applyProtection="1">
      <alignment/>
      <protection hidden="1"/>
    </xf>
    <xf numFmtId="220" fontId="103" fillId="36" borderId="62" xfId="0" applyNumberFormat="1" applyFont="1" applyFill="1" applyBorder="1" applyAlignment="1" applyProtection="1">
      <alignment/>
      <protection hidden="1"/>
    </xf>
    <xf numFmtId="196" fontId="0" fillId="36" borderId="0" xfId="0" applyNumberFormat="1" applyFill="1" applyBorder="1" applyAlignment="1" applyProtection="1">
      <alignment/>
      <protection hidden="1"/>
    </xf>
    <xf numFmtId="196" fontId="0" fillId="36" borderId="22" xfId="0" applyNumberFormat="1" applyFill="1" applyBorder="1" applyAlignment="1" applyProtection="1">
      <alignment/>
      <protection hidden="1"/>
    </xf>
    <xf numFmtId="220" fontId="103" fillId="36" borderId="66" xfId="0" applyNumberFormat="1" applyFont="1" applyFill="1" applyBorder="1" applyAlignment="1" applyProtection="1">
      <alignment/>
      <protection hidden="1"/>
    </xf>
    <xf numFmtId="196" fontId="0" fillId="36" borderId="13" xfId="0" applyNumberFormat="1" applyFill="1" applyBorder="1" applyAlignment="1" applyProtection="1">
      <alignment/>
      <protection hidden="1"/>
    </xf>
    <xf numFmtId="196" fontId="0" fillId="36" borderId="31" xfId="0" applyNumberFormat="1" applyFill="1" applyBorder="1" applyAlignment="1" applyProtection="1">
      <alignment/>
      <protection hidden="1"/>
    </xf>
    <xf numFmtId="0" fontId="13" fillId="33" borderId="16" xfId="0" applyFont="1" applyFill="1" applyBorder="1" applyAlignment="1" applyProtection="1">
      <alignment vertical="center"/>
      <protection hidden="1"/>
    </xf>
    <xf numFmtId="0" fontId="137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220" fontId="0" fillId="36" borderId="14" xfId="0" applyNumberFormat="1" applyFill="1" applyBorder="1" applyAlignment="1" applyProtection="1">
      <alignment horizontal="center" vertical="center"/>
      <protection hidden="1"/>
    </xf>
    <xf numFmtId="0" fontId="0" fillId="36" borderId="62" xfId="0" applyFill="1" applyBorder="1" applyAlignment="1" applyProtection="1">
      <alignment horizontal="center"/>
      <protection hidden="1"/>
    </xf>
    <xf numFmtId="0" fontId="0" fillId="36" borderId="70" xfId="0" applyFill="1" applyBorder="1" applyAlignment="1" applyProtection="1">
      <alignment horizontal="center"/>
      <protection hidden="1"/>
    </xf>
    <xf numFmtId="229" fontId="103" fillId="36" borderId="14" xfId="0" applyNumberFormat="1" applyFont="1" applyFill="1" applyBorder="1" applyAlignment="1" applyProtection="1">
      <alignment horizontal="center"/>
      <protection hidden="1"/>
    </xf>
    <xf numFmtId="220" fontId="103" fillId="36" borderId="69" xfId="0" applyNumberFormat="1" applyFont="1" applyFill="1" applyBorder="1" applyAlignment="1" applyProtection="1">
      <alignment horizontal="center"/>
      <protection hidden="1"/>
    </xf>
    <xf numFmtId="220" fontId="103" fillId="36" borderId="62" xfId="0" applyNumberFormat="1" applyFont="1" applyFill="1" applyBorder="1" applyAlignment="1" applyProtection="1">
      <alignment horizontal="center"/>
      <protection hidden="1"/>
    </xf>
    <xf numFmtId="220" fontId="103" fillId="36" borderId="70" xfId="0" applyNumberFormat="1" applyFont="1" applyFill="1" applyBorder="1" applyAlignment="1" applyProtection="1">
      <alignment horizontal="center"/>
      <protection hidden="1"/>
    </xf>
    <xf numFmtId="196" fontId="103" fillId="36" borderId="14" xfId="0" applyNumberFormat="1" applyFont="1" applyFill="1" applyBorder="1" applyAlignment="1" applyProtection="1">
      <alignment horizontal="center"/>
      <protection hidden="1"/>
    </xf>
    <xf numFmtId="230" fontId="0" fillId="36" borderId="69" xfId="0" applyNumberFormat="1" applyFill="1" applyBorder="1" applyAlignment="1" applyProtection="1">
      <alignment horizontal="center"/>
      <protection hidden="1"/>
    </xf>
    <xf numFmtId="230" fontId="0" fillId="36" borderId="62" xfId="0" applyNumberFormat="1" applyFill="1" applyBorder="1" applyAlignment="1" applyProtection="1">
      <alignment horizontal="center"/>
      <protection hidden="1"/>
    </xf>
    <xf numFmtId="230" fontId="0" fillId="36" borderId="70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38" fillId="36" borderId="0" xfId="0" applyFont="1" applyFill="1" applyAlignment="1" applyProtection="1">
      <alignment/>
      <protection hidden="1"/>
    </xf>
    <xf numFmtId="0" fontId="115" fillId="36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right" vertical="center"/>
      <protection hidden="1"/>
    </xf>
    <xf numFmtId="0" fontId="139" fillId="36" borderId="0" xfId="0" applyFont="1" applyFill="1" applyAlignment="1" applyProtection="1">
      <alignment vertical="center"/>
      <protection hidden="1"/>
    </xf>
    <xf numFmtId="0" fontId="139" fillId="36" borderId="0" xfId="0" applyFont="1" applyFill="1" applyAlignment="1" applyProtection="1" quotePrefix="1">
      <alignment vertical="center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229" fontId="103" fillId="36" borderId="16" xfId="0" applyNumberFormat="1" applyFont="1" applyFill="1" applyBorder="1" applyAlignment="1" applyProtection="1">
      <alignment horizontal="center"/>
      <protection hidden="1"/>
    </xf>
    <xf numFmtId="229" fontId="103" fillId="36" borderId="17" xfId="0" applyNumberFormat="1" applyFont="1" applyFill="1" applyBorder="1" applyAlignment="1" applyProtection="1">
      <alignment horizontal="center"/>
      <protection hidden="1"/>
    </xf>
    <xf numFmtId="229" fontId="103" fillId="36" borderId="32" xfId="0" applyNumberFormat="1" applyFont="1" applyFill="1" applyBorder="1" applyAlignment="1" applyProtection="1">
      <alignment horizontal="center"/>
      <protection hidden="1"/>
    </xf>
    <xf numFmtId="229" fontId="103" fillId="36" borderId="35" xfId="0" applyNumberFormat="1" applyFont="1" applyFill="1" applyBorder="1" applyAlignment="1" applyProtection="1">
      <alignment horizontal="center"/>
      <protection hidden="1"/>
    </xf>
    <xf numFmtId="196" fontId="0" fillId="36" borderId="34" xfId="0" applyNumberFormat="1" applyFill="1" applyBorder="1" applyAlignment="1" applyProtection="1">
      <alignment horizontal="center"/>
      <protection hidden="1"/>
    </xf>
    <xf numFmtId="196" fontId="0" fillId="36" borderId="32" xfId="0" applyNumberFormat="1" applyFill="1" applyBorder="1" applyAlignment="1" applyProtection="1">
      <alignment horizontal="center"/>
      <protection hidden="1"/>
    </xf>
    <xf numFmtId="196" fontId="0" fillId="36" borderId="35" xfId="0" applyNumberFormat="1" applyFill="1" applyBorder="1" applyAlignment="1" applyProtection="1">
      <alignment horizontal="center"/>
      <protection hidden="1"/>
    </xf>
    <xf numFmtId="196" fontId="0" fillId="36" borderId="36" xfId="0" applyNumberFormat="1" applyFill="1" applyBorder="1" applyAlignment="1" applyProtection="1">
      <alignment horizontal="center"/>
      <protection hidden="1"/>
    </xf>
    <xf numFmtId="196" fontId="0" fillId="36" borderId="0" xfId="0" applyNumberFormat="1" applyFill="1" applyBorder="1" applyAlignment="1" applyProtection="1">
      <alignment horizontal="center"/>
      <protection hidden="1"/>
    </xf>
    <xf numFmtId="196" fontId="0" fillId="36" borderId="37" xfId="0" applyNumberFormat="1" applyFill="1" applyBorder="1" applyAlignment="1" applyProtection="1">
      <alignment horizontal="center"/>
      <protection hidden="1"/>
    </xf>
    <xf numFmtId="196" fontId="0" fillId="36" borderId="38" xfId="0" applyNumberFormat="1" applyFill="1" applyBorder="1" applyAlignment="1" applyProtection="1">
      <alignment horizontal="center"/>
      <protection hidden="1"/>
    </xf>
    <xf numFmtId="196" fontId="0" fillId="36" borderId="33" xfId="0" applyNumberFormat="1" applyFill="1" applyBorder="1" applyAlignment="1" applyProtection="1">
      <alignment horizontal="center"/>
      <protection hidden="1"/>
    </xf>
    <xf numFmtId="196" fontId="0" fillId="36" borderId="39" xfId="0" applyNumberFormat="1" applyFill="1" applyBorder="1" applyAlignment="1" applyProtection="1">
      <alignment horizontal="center"/>
      <protection hidden="1"/>
    </xf>
    <xf numFmtId="0" fontId="2" fillId="39" borderId="0" xfId="0" applyFont="1" applyFill="1" applyBorder="1" applyAlignment="1" applyProtection="1">
      <alignment horizontal="left" vertical="center"/>
      <protection hidden="1"/>
    </xf>
    <xf numFmtId="0" fontId="2" fillId="39" borderId="78" xfId="0" applyFont="1" applyFill="1" applyBorder="1" applyAlignment="1" applyProtection="1">
      <alignment horizontal="left" vertical="center"/>
      <protection hidden="1"/>
    </xf>
    <xf numFmtId="0" fontId="2" fillId="39" borderId="79" xfId="0" applyFont="1" applyFill="1" applyBorder="1" applyAlignment="1" applyProtection="1">
      <alignment horizontal="left" vertical="center"/>
      <protection hidden="1"/>
    </xf>
    <xf numFmtId="0" fontId="2" fillId="39" borderId="80" xfId="0" applyFont="1" applyFill="1" applyBorder="1" applyAlignment="1" applyProtection="1">
      <alignment horizontal="left" vertical="center"/>
      <protection hidden="1"/>
    </xf>
    <xf numFmtId="0" fontId="2" fillId="39" borderId="81" xfId="0" applyFont="1" applyFill="1" applyBorder="1" applyAlignment="1" applyProtection="1">
      <alignment horizontal="left" vertical="center"/>
      <protection hidden="1"/>
    </xf>
    <xf numFmtId="0" fontId="2" fillId="39" borderId="82" xfId="0" applyFont="1" applyFill="1" applyBorder="1" applyAlignment="1" applyProtection="1">
      <alignment horizontal="left" vertical="center"/>
      <protection hidden="1"/>
    </xf>
    <xf numFmtId="0" fontId="2" fillId="39" borderId="83" xfId="0" applyFont="1" applyFill="1" applyBorder="1" applyAlignment="1" applyProtection="1">
      <alignment horizontal="left" vertical="center"/>
      <protection hidden="1"/>
    </xf>
    <xf numFmtId="0" fontId="2" fillId="39" borderId="84" xfId="0" applyFont="1" applyFill="1" applyBorder="1" applyAlignment="1" applyProtection="1">
      <alignment horizontal="left" vertical="center"/>
      <protection hidden="1"/>
    </xf>
    <xf numFmtId="0" fontId="2" fillId="39" borderId="85" xfId="0" applyFont="1" applyFill="1" applyBorder="1" applyAlignment="1" applyProtection="1">
      <alignment horizontal="left" vertical="center"/>
      <protection hidden="1"/>
    </xf>
    <xf numFmtId="0" fontId="3" fillId="36" borderId="0" xfId="0" applyFont="1" applyFill="1" applyBorder="1" applyAlignment="1" applyProtection="1">
      <alignment vertical="center" wrapText="1"/>
      <protection hidden="1"/>
    </xf>
    <xf numFmtId="0" fontId="4" fillId="36" borderId="0" xfId="0" applyFont="1" applyFill="1" applyBorder="1" applyAlignment="1" applyProtection="1">
      <alignment vertical="center"/>
      <protection hidden="1"/>
    </xf>
    <xf numFmtId="0" fontId="5" fillId="36" borderId="0" xfId="0" applyFont="1" applyFill="1" applyBorder="1" applyAlignment="1" applyProtection="1">
      <alignment horizontal="center" vertical="center"/>
      <protection hidden="1"/>
    </xf>
    <xf numFmtId="0" fontId="5" fillId="36" borderId="0" xfId="0" applyFont="1" applyFill="1" applyBorder="1" applyAlignment="1" applyProtection="1">
      <alignment vertical="center"/>
      <protection hidden="1"/>
    </xf>
    <xf numFmtId="0" fontId="5" fillId="36" borderId="0" xfId="0" applyFont="1" applyFill="1" applyBorder="1" applyAlignment="1" applyProtection="1">
      <alignment horizontal="left" vertical="center" indent="1"/>
      <protection hidden="1"/>
    </xf>
    <xf numFmtId="0" fontId="5" fillId="36" borderId="0" xfId="0" applyFont="1" applyFill="1" applyBorder="1" applyAlignment="1" applyProtection="1">
      <alignment horizontal="left" vertical="center"/>
      <protection hidden="1"/>
    </xf>
    <xf numFmtId="164" fontId="2" fillId="36" borderId="0" xfId="0" applyNumberFormat="1" applyFont="1" applyFill="1" applyBorder="1" applyAlignment="1" applyProtection="1">
      <alignment vertical="center"/>
      <protection hidden="1"/>
    </xf>
    <xf numFmtId="165" fontId="2" fillId="36" borderId="0" xfId="0" applyNumberFormat="1" applyFont="1" applyFill="1" applyBorder="1" applyAlignment="1" applyProtection="1">
      <alignment vertical="center"/>
      <protection hidden="1"/>
    </xf>
    <xf numFmtId="166" fontId="8" fillId="36" borderId="0" xfId="0" applyNumberFormat="1" applyFont="1" applyFill="1" applyBorder="1" applyAlignment="1" applyProtection="1">
      <alignment vertical="center" shrinkToFit="1"/>
      <protection hidden="1"/>
    </xf>
    <xf numFmtId="167" fontId="2" fillId="36" borderId="0" xfId="0" applyNumberFormat="1" applyFont="1" applyFill="1" applyBorder="1" applyAlignment="1" applyProtection="1">
      <alignment vertical="center"/>
      <protection hidden="1"/>
    </xf>
    <xf numFmtId="0" fontId="5" fillId="36" borderId="0" xfId="0" applyNumberFormat="1" applyFont="1" applyFill="1" applyBorder="1" applyAlignment="1" applyProtection="1">
      <alignment horizontal="center" vertical="center"/>
      <protection hidden="1"/>
    </xf>
    <xf numFmtId="168" fontId="5" fillId="36" borderId="0" xfId="0" applyNumberFormat="1" applyFont="1" applyFill="1" applyBorder="1" applyAlignment="1" applyProtection="1">
      <alignment vertical="center"/>
      <protection hidden="1"/>
    </xf>
    <xf numFmtId="0" fontId="4" fillId="36" borderId="0" xfId="0" applyFont="1" applyFill="1" applyBorder="1" applyAlignment="1" applyProtection="1">
      <alignment horizontal="left" vertical="center"/>
      <protection hidden="1"/>
    </xf>
    <xf numFmtId="169" fontId="5" fillId="36" borderId="0" xfId="0" applyNumberFormat="1" applyFont="1" applyFill="1" applyBorder="1" applyAlignment="1" applyProtection="1">
      <alignment vertical="center"/>
      <protection hidden="1"/>
    </xf>
    <xf numFmtId="170" fontId="2" fillId="36" borderId="0" xfId="0" applyNumberFormat="1" applyFont="1" applyFill="1" applyBorder="1" applyAlignment="1" applyProtection="1">
      <alignment vertical="center"/>
      <protection hidden="1"/>
    </xf>
    <xf numFmtId="171" fontId="8" fillId="36" borderId="0" xfId="0" applyNumberFormat="1" applyFont="1" applyFill="1" applyBorder="1" applyAlignment="1" applyProtection="1">
      <alignment vertical="center" shrinkToFit="1"/>
      <protection hidden="1"/>
    </xf>
    <xf numFmtId="172" fontId="2" fillId="36" borderId="0" xfId="0" applyNumberFormat="1" applyFont="1" applyFill="1" applyBorder="1" applyAlignment="1" applyProtection="1">
      <alignment vertical="center"/>
      <protection hidden="1"/>
    </xf>
    <xf numFmtId="0" fontId="4" fillId="36" borderId="0" xfId="0" applyFont="1" applyFill="1" applyBorder="1" applyAlignment="1" applyProtection="1">
      <alignment horizontal="center" vertical="center"/>
      <protection hidden="1"/>
    </xf>
    <xf numFmtId="173" fontId="5" fillId="36" borderId="0" xfId="0" applyNumberFormat="1" applyFont="1" applyFill="1" applyBorder="1" applyAlignment="1" applyProtection="1">
      <alignment horizontal="center" vertical="center"/>
      <protection hidden="1"/>
    </xf>
    <xf numFmtId="174" fontId="5" fillId="36" borderId="0" xfId="0" applyNumberFormat="1" applyFont="1" applyFill="1" applyBorder="1" applyAlignment="1" applyProtection="1">
      <alignment vertical="center"/>
      <protection hidden="1"/>
    </xf>
    <xf numFmtId="175" fontId="5" fillId="36" borderId="0" xfId="0" applyNumberFormat="1" applyFont="1" applyFill="1" applyBorder="1" applyAlignment="1" applyProtection="1">
      <alignment vertical="center"/>
      <protection hidden="1"/>
    </xf>
    <xf numFmtId="176" fontId="5" fillId="36" borderId="0" xfId="0" applyNumberFormat="1" applyFont="1" applyFill="1" applyBorder="1" applyAlignment="1" applyProtection="1">
      <alignment horizontal="center" vertical="center"/>
      <protection hidden="1"/>
    </xf>
    <xf numFmtId="177" fontId="2" fillId="36" borderId="0" xfId="0" applyNumberFormat="1" applyFont="1" applyFill="1" applyBorder="1" applyAlignment="1" applyProtection="1">
      <alignment vertical="center"/>
      <protection hidden="1"/>
    </xf>
    <xf numFmtId="178" fontId="2" fillId="36" borderId="0" xfId="0" applyNumberFormat="1" applyFont="1" applyFill="1" applyBorder="1" applyAlignment="1" applyProtection="1">
      <alignment vertical="center"/>
      <protection hidden="1"/>
    </xf>
    <xf numFmtId="179" fontId="2" fillId="36" borderId="0" xfId="0" applyNumberFormat="1" applyFont="1" applyFill="1" applyBorder="1" applyAlignment="1" applyProtection="1">
      <alignment vertical="center"/>
      <protection hidden="1"/>
    </xf>
    <xf numFmtId="179" fontId="2" fillId="36" borderId="0" xfId="0" applyNumberFormat="1" applyFont="1" applyFill="1" applyBorder="1" applyAlignment="1" applyProtection="1">
      <alignment horizontal="center" vertical="center"/>
      <protection hidden="1"/>
    </xf>
    <xf numFmtId="20" fontId="2" fillId="36" borderId="0" xfId="0" applyNumberFormat="1" applyFont="1" applyFill="1" applyBorder="1" applyAlignment="1" applyProtection="1">
      <alignment vertical="center"/>
      <protection hidden="1"/>
    </xf>
    <xf numFmtId="180" fontId="2" fillId="36" borderId="0" xfId="0" applyNumberFormat="1" applyFont="1" applyFill="1" applyBorder="1" applyAlignment="1" applyProtection="1" quotePrefix="1">
      <alignment vertical="center"/>
      <protection hidden="1"/>
    </xf>
    <xf numFmtId="20" fontId="2" fillId="36" borderId="0" xfId="0" applyNumberFormat="1" applyFont="1" applyFill="1" applyBorder="1" applyAlignment="1" applyProtection="1">
      <alignment horizontal="left" vertical="center"/>
      <protection hidden="1"/>
    </xf>
    <xf numFmtId="0" fontId="140" fillId="36" borderId="0" xfId="0" applyFont="1" applyFill="1" applyBorder="1" applyAlignment="1" applyProtection="1">
      <alignment horizontal="left" vertical="center"/>
      <protection hidden="1"/>
    </xf>
    <xf numFmtId="0" fontId="9" fillId="36" borderId="0" xfId="0" applyFont="1" applyFill="1" applyBorder="1" applyAlignment="1" applyProtection="1">
      <alignment vertical="center"/>
      <protection hidden="1"/>
    </xf>
    <xf numFmtId="0" fontId="2" fillId="36" borderId="15" xfId="0" applyFont="1" applyFill="1" applyBorder="1" applyAlignment="1" applyProtection="1">
      <alignment horizontal="right" vertical="center"/>
      <protection hidden="1"/>
    </xf>
    <xf numFmtId="0" fontId="2" fillId="36" borderId="15" xfId="0" applyFont="1" applyFill="1" applyBorder="1" applyAlignment="1" applyProtection="1">
      <alignment horizontal="left" vertical="center" indent="2"/>
      <protection hidden="1"/>
    </xf>
    <xf numFmtId="181" fontId="2" fillId="36" borderId="0" xfId="0" applyNumberFormat="1" applyFont="1" applyFill="1" applyBorder="1" applyAlignment="1" applyProtection="1">
      <alignment vertical="center"/>
      <protection hidden="1"/>
    </xf>
    <xf numFmtId="0" fontId="11" fillId="36" borderId="0" xfId="0" applyFont="1" applyFill="1" applyBorder="1" applyAlignment="1" applyProtection="1">
      <alignment vertical="center"/>
      <protection hidden="1"/>
    </xf>
    <xf numFmtId="0" fontId="12" fillId="36" borderId="0" xfId="0" applyFont="1" applyFill="1" applyBorder="1" applyAlignment="1" applyProtection="1">
      <alignment horizontal="center" vertical="center"/>
      <protection hidden="1"/>
    </xf>
    <xf numFmtId="0" fontId="7" fillId="36" borderId="0" xfId="0" applyFont="1" applyFill="1" applyBorder="1" applyAlignment="1" applyProtection="1">
      <alignment horizontal="left" vertical="center"/>
      <protection hidden="1"/>
    </xf>
    <xf numFmtId="186" fontId="2" fillId="36" borderId="0" xfId="0" applyNumberFormat="1" applyFont="1" applyFill="1" applyBorder="1" applyAlignment="1" applyProtection="1">
      <alignment vertical="center"/>
      <protection hidden="1"/>
    </xf>
    <xf numFmtId="0" fontId="2" fillId="40" borderId="0" xfId="0" applyFont="1" applyFill="1" applyBorder="1" applyAlignment="1" applyProtection="1">
      <alignment horizontal="left" vertical="center"/>
      <protection hidden="1"/>
    </xf>
    <xf numFmtId="193" fontId="127" fillId="40" borderId="0" xfId="0" applyNumberFormat="1" applyFont="1" applyFill="1" applyBorder="1" applyAlignment="1" applyProtection="1">
      <alignment horizontal="right" vertical="center" indent="1"/>
      <protection hidden="1"/>
    </xf>
    <xf numFmtId="194" fontId="127" fillId="40" borderId="0" xfId="0" applyNumberFormat="1" applyFont="1" applyFill="1" applyBorder="1" applyAlignment="1" applyProtection="1">
      <alignment horizontal="right" vertical="center" indent="1"/>
      <protection hidden="1"/>
    </xf>
    <xf numFmtId="193" fontId="116" fillId="40" borderId="0" xfId="0" applyNumberFormat="1" applyFont="1" applyFill="1" applyBorder="1" applyAlignment="1" applyProtection="1">
      <alignment horizontal="right" vertical="center" indent="1"/>
      <protection hidden="1"/>
    </xf>
    <xf numFmtId="194" fontId="116" fillId="40" borderId="0" xfId="0" applyNumberFormat="1" applyFont="1" applyFill="1" applyBorder="1" applyAlignment="1" applyProtection="1">
      <alignment horizontal="right" vertical="center" indent="1"/>
      <protection hidden="1"/>
    </xf>
    <xf numFmtId="215" fontId="128" fillId="40" borderId="0" xfId="0" applyNumberFormat="1" applyFont="1" applyFill="1" applyBorder="1" applyAlignment="1" applyProtection="1" quotePrefix="1">
      <alignment horizontal="right" vertical="center" indent="1" shrinkToFit="1"/>
      <protection hidden="1"/>
    </xf>
    <xf numFmtId="212" fontId="116" fillId="40" borderId="0" xfId="0" applyNumberFormat="1" applyFont="1" applyFill="1" applyBorder="1" applyAlignment="1" applyProtection="1">
      <alignment horizontal="right" vertical="center" indent="1"/>
      <protection hidden="1"/>
    </xf>
    <xf numFmtId="0" fontId="2" fillId="40" borderId="0" xfId="0" applyFont="1" applyFill="1" applyBorder="1" applyAlignment="1" applyProtection="1">
      <alignment vertical="center" wrapText="1"/>
      <protection hidden="1"/>
    </xf>
    <xf numFmtId="0" fontId="141" fillId="39" borderId="85" xfId="0" applyFont="1" applyFill="1" applyBorder="1" applyAlignment="1" applyProtection="1">
      <alignment vertical="center" shrinkToFit="1"/>
      <protection hidden="1" locked="0"/>
    </xf>
    <xf numFmtId="0" fontId="141" fillId="39" borderId="79" xfId="0" applyFont="1" applyFill="1" applyBorder="1" applyAlignment="1" applyProtection="1">
      <alignment horizontal="center"/>
      <protection hidden="1"/>
    </xf>
    <xf numFmtId="0" fontId="2" fillId="39" borderId="86" xfId="0" applyFont="1" applyFill="1" applyBorder="1" applyAlignment="1" applyProtection="1">
      <alignment horizontal="left" vertical="center"/>
      <protection hidden="1"/>
    </xf>
    <xf numFmtId="0" fontId="2" fillId="39" borderId="87" xfId="0" applyFont="1" applyFill="1" applyBorder="1" applyAlignment="1" applyProtection="1">
      <alignment horizontal="left" vertical="center"/>
      <protection hidden="1"/>
    </xf>
    <xf numFmtId="0" fontId="2" fillId="39" borderId="88" xfId="0" applyFont="1" applyFill="1" applyBorder="1" applyAlignment="1" applyProtection="1">
      <alignment horizontal="left" vertical="center"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0" fontId="127" fillId="36" borderId="0" xfId="0" applyFont="1" applyFill="1" applyBorder="1" applyAlignment="1" applyProtection="1">
      <alignment horizontal="right"/>
      <protection hidden="1"/>
    </xf>
    <xf numFmtId="0" fontId="140" fillId="36" borderId="0" xfId="0" applyFont="1" applyFill="1" applyBorder="1" applyAlignment="1" applyProtection="1">
      <alignment horizontal="left"/>
      <protection hidden="1"/>
    </xf>
    <xf numFmtId="0" fontId="116" fillId="36" borderId="0" xfId="0" applyFont="1" applyFill="1" applyBorder="1" applyAlignment="1" applyProtection="1">
      <alignment horizontal="right"/>
      <protection hidden="1"/>
    </xf>
    <xf numFmtId="0" fontId="42" fillId="36" borderId="0" xfId="0" applyFont="1" applyFill="1" applyBorder="1" applyAlignment="1" applyProtection="1">
      <alignment horizontal="right" vertical="center"/>
      <protection hidden="1"/>
    </xf>
    <xf numFmtId="0" fontId="120" fillId="0" borderId="0" xfId="0" applyFont="1" applyFill="1" applyBorder="1" applyAlignment="1" applyProtection="1">
      <alignment/>
      <protection hidden="1" locked="0"/>
    </xf>
    <xf numFmtId="0" fontId="121" fillId="0" borderId="0" xfId="0" applyFont="1" applyFill="1" applyBorder="1" applyAlignment="1" applyProtection="1">
      <alignment/>
      <protection hidden="1" locked="0"/>
    </xf>
    <xf numFmtId="195" fontId="137" fillId="0" borderId="0" xfId="0" applyNumberFormat="1" applyFont="1" applyFill="1" applyBorder="1" applyAlignment="1" applyProtection="1">
      <alignment horizontal="right" vertical="center"/>
      <protection hidden="1"/>
    </xf>
    <xf numFmtId="233" fontId="2" fillId="0" borderId="0" xfId="0" applyNumberFormat="1" applyFont="1" applyFill="1" applyBorder="1" applyAlignment="1" applyProtection="1">
      <alignment horizontal="center" vertical="center"/>
      <protection hidden="1"/>
    </xf>
    <xf numFmtId="176" fontId="5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0" xfId="0" applyNumberFormat="1" applyFont="1" applyFill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2" fillId="36" borderId="0" xfId="0" applyFont="1" applyFill="1" applyAlignment="1" applyProtection="1">
      <alignment horizontal="left" vertical="center"/>
      <protection hidden="1"/>
    </xf>
    <xf numFmtId="0" fontId="2" fillId="36" borderId="11" xfId="0" applyFont="1" applyFill="1" applyBorder="1" applyAlignment="1" applyProtection="1">
      <alignment horizontal="left" vertical="center"/>
      <protection hidden="1"/>
    </xf>
    <xf numFmtId="0" fontId="2" fillId="36" borderId="12" xfId="0" applyFont="1" applyFill="1" applyBorder="1" applyAlignment="1" applyProtection="1">
      <alignment horizontal="left" vertical="center"/>
      <protection hidden="1"/>
    </xf>
    <xf numFmtId="0" fontId="6" fillId="36" borderId="0" xfId="0" applyFont="1" applyFill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horizontal="left" vertical="center"/>
      <protection hidden="1"/>
    </xf>
    <xf numFmtId="0" fontId="2" fillId="36" borderId="0" xfId="0" applyFont="1" applyFill="1" applyAlignment="1" applyProtection="1">
      <alignment horizontal="right" vertical="center"/>
      <protection hidden="1"/>
    </xf>
    <xf numFmtId="0" fontId="2" fillId="36" borderId="33" xfId="0" applyFont="1" applyFill="1" applyBorder="1" applyAlignment="1" applyProtection="1">
      <alignment vertical="center"/>
      <protection hidden="1"/>
    </xf>
    <xf numFmtId="0" fontId="2" fillId="36" borderId="0" xfId="0" applyFont="1" applyFill="1" applyAlignment="1" applyProtection="1">
      <alignment horizontal="right" vertical="center" indent="2"/>
      <protection hidden="1"/>
    </xf>
    <xf numFmtId="0" fontId="2" fillId="36" borderId="0" xfId="0" applyFont="1" applyFill="1" applyAlignment="1" applyProtection="1">
      <alignment horizontal="left" vertical="center" indent="2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2" fillId="36" borderId="0" xfId="0" applyFont="1" applyFill="1" applyAlignment="1" applyProtection="1">
      <alignment horizontal="left" vertical="center" wrapText="1"/>
      <protection hidden="1"/>
    </xf>
    <xf numFmtId="0" fontId="13" fillId="36" borderId="0" xfId="0" applyFont="1" applyFill="1" applyAlignment="1" applyProtection="1">
      <alignment horizontal="center" vertical="center"/>
      <protection hidden="1"/>
    </xf>
    <xf numFmtId="0" fontId="7" fillId="36" borderId="0" xfId="0" applyFont="1" applyFill="1" applyAlignment="1" applyProtection="1">
      <alignment horizontal="left" vertical="center"/>
      <protection hidden="1"/>
    </xf>
    <xf numFmtId="0" fontId="45" fillId="30" borderId="0" xfId="0" applyFont="1" applyFill="1" applyAlignment="1" applyProtection="1">
      <alignment horizontal="center" vertical="center"/>
      <protection hidden="1"/>
    </xf>
    <xf numFmtId="0" fontId="7" fillId="36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36" borderId="89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horizontal="right" vertical="center"/>
      <protection hidden="1"/>
    </xf>
    <xf numFmtId="0" fontId="119" fillId="34" borderId="0" xfId="0" applyFont="1" applyFill="1" applyAlignment="1" applyProtection="1">
      <alignment horizontal="left" vertical="center"/>
      <protection hidden="1"/>
    </xf>
    <xf numFmtId="0" fontId="118" fillId="34" borderId="0" xfId="0" applyFont="1" applyFill="1" applyAlignment="1" applyProtection="1">
      <alignment horizontal="right" vertical="center" indent="1"/>
      <protection hidden="1"/>
    </xf>
    <xf numFmtId="0" fontId="2" fillId="30" borderId="0" xfId="0" applyFont="1" applyFill="1" applyAlignment="1" applyProtection="1">
      <alignment horizontal="center" vertical="center"/>
      <protection locked="0"/>
    </xf>
    <xf numFmtId="0" fontId="2" fillId="36" borderId="10" xfId="0" applyFont="1" applyFill="1" applyBorder="1" applyAlignment="1" applyProtection="1">
      <alignment vertical="center"/>
      <protection hidden="1"/>
    </xf>
    <xf numFmtId="0" fontId="118" fillId="36" borderId="0" xfId="0" applyFont="1" applyFill="1" applyBorder="1" applyAlignment="1" applyProtection="1">
      <alignment horizontal="right" vertical="center" indent="1"/>
      <protection hidden="1"/>
    </xf>
    <xf numFmtId="0" fontId="2" fillId="30" borderId="0" xfId="0" applyFont="1" applyFill="1" applyBorder="1" applyAlignment="1" applyProtection="1">
      <alignment horizontal="center" vertical="center"/>
      <protection locked="0"/>
    </xf>
    <xf numFmtId="193" fontId="127" fillId="0" borderId="0" xfId="0" applyNumberFormat="1" applyFont="1" applyFill="1" applyBorder="1" applyAlignment="1" applyProtection="1">
      <alignment horizontal="right" vertical="center" indent="1"/>
      <protection hidden="1"/>
    </xf>
    <xf numFmtId="194" fontId="127" fillId="0" borderId="0" xfId="0" applyNumberFormat="1" applyFont="1" applyFill="1" applyBorder="1" applyAlignment="1" applyProtection="1">
      <alignment horizontal="right" vertical="center" indent="1"/>
      <protection hidden="1"/>
    </xf>
    <xf numFmtId="193" fontId="116" fillId="0" borderId="0" xfId="0" applyNumberFormat="1" applyFont="1" applyFill="1" applyBorder="1" applyAlignment="1" applyProtection="1">
      <alignment horizontal="right" vertical="center" indent="1"/>
      <protection hidden="1"/>
    </xf>
    <xf numFmtId="194" fontId="116" fillId="0" borderId="0" xfId="0" applyNumberFormat="1" applyFont="1" applyFill="1" applyBorder="1" applyAlignment="1" applyProtection="1">
      <alignment horizontal="right" vertical="center" indent="1"/>
      <protection hidden="1"/>
    </xf>
    <xf numFmtId="215" fontId="128" fillId="0" borderId="0" xfId="0" applyNumberFormat="1" applyFont="1" applyFill="1" applyBorder="1" applyAlignment="1" applyProtection="1" quotePrefix="1">
      <alignment horizontal="right" vertical="center" indent="1" shrinkToFit="1"/>
      <protection hidden="1"/>
    </xf>
    <xf numFmtId="212" fontId="116" fillId="0" borderId="0" xfId="0" applyNumberFormat="1" applyFont="1" applyFill="1" applyBorder="1" applyAlignment="1" applyProtection="1">
      <alignment horizontal="right" vertical="center" indent="1"/>
      <protection hidden="1"/>
    </xf>
    <xf numFmtId="0" fontId="141" fillId="0" borderId="0" xfId="0" applyFont="1" applyFill="1" applyBorder="1" applyAlignment="1" applyProtection="1">
      <alignment vertical="center" shrinkToFit="1"/>
      <protection hidden="1" locked="0"/>
    </xf>
    <xf numFmtId="0" fontId="2" fillId="0" borderId="0" xfId="0" applyFont="1" applyFill="1" applyBorder="1" applyAlignment="1" applyProtection="1">
      <alignment/>
      <protection hidden="1"/>
    </xf>
    <xf numFmtId="0" fontId="141" fillId="0" borderId="0" xfId="0" applyFont="1" applyFill="1" applyBorder="1" applyAlignment="1" applyProtection="1">
      <alignment horizontal="center"/>
      <protection hidden="1"/>
    </xf>
    <xf numFmtId="203" fontId="2" fillId="36" borderId="33" xfId="0" applyNumberFormat="1" applyFont="1" applyFill="1" applyBorder="1" applyAlignment="1" applyProtection="1">
      <alignment horizontal="left" vertical="center"/>
      <protection hidden="1"/>
    </xf>
    <xf numFmtId="171" fontId="8" fillId="36" borderId="90" xfId="0" applyNumberFormat="1" applyFont="1" applyFill="1" applyBorder="1" applyAlignment="1" applyProtection="1">
      <alignment horizontal="center" vertical="center" shrinkToFit="1"/>
      <protection locked="0"/>
    </xf>
    <xf numFmtId="171" fontId="8" fillId="36" borderId="9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92" xfId="0" applyFont="1" applyFill="1" applyBorder="1" applyAlignment="1" applyProtection="1">
      <alignment horizontal="left" vertical="center"/>
      <protection hidden="1"/>
    </xf>
    <xf numFmtId="0" fontId="6" fillId="33" borderId="90" xfId="0" applyFont="1" applyFill="1" applyBorder="1" applyAlignment="1" applyProtection="1">
      <alignment horizontal="left" vertical="center"/>
      <protection hidden="1"/>
    </xf>
    <xf numFmtId="0" fontId="6" fillId="33" borderId="91" xfId="0" applyFont="1" applyFill="1" applyBorder="1" applyAlignment="1" applyProtection="1">
      <alignment horizontal="left" vertical="center"/>
      <protection hidden="1"/>
    </xf>
    <xf numFmtId="198" fontId="2" fillId="0" borderId="90" xfId="0" applyNumberFormat="1" applyFont="1" applyFill="1" applyBorder="1" applyAlignment="1" applyProtection="1">
      <alignment horizontal="center" vertical="center"/>
      <protection locked="0"/>
    </xf>
    <xf numFmtId="198" fontId="2" fillId="0" borderId="91" xfId="0" applyNumberFormat="1" applyFont="1" applyFill="1" applyBorder="1" applyAlignment="1" applyProtection="1">
      <alignment horizontal="center" vertical="center"/>
      <protection locked="0"/>
    </xf>
    <xf numFmtId="0" fontId="2" fillId="36" borderId="93" xfId="0" applyFont="1" applyFill="1" applyBorder="1" applyAlignment="1" applyProtection="1">
      <alignment horizontal="left" vertical="center"/>
      <protection hidden="1"/>
    </xf>
    <xf numFmtId="0" fontId="2" fillId="36" borderId="94" xfId="0" applyFont="1" applyFill="1" applyBorder="1" applyAlignment="1" applyProtection="1">
      <alignment horizontal="left" vertical="center"/>
      <protection hidden="1"/>
    </xf>
    <xf numFmtId="0" fontId="2" fillId="36" borderId="95" xfId="0" applyFont="1" applyFill="1" applyBorder="1" applyAlignment="1" applyProtection="1">
      <alignment horizontal="left" vertical="center"/>
      <protection hidden="1"/>
    </xf>
    <xf numFmtId="166" fontId="8" fillId="36" borderId="94" xfId="0" applyNumberFormat="1" applyFont="1" applyFill="1" applyBorder="1" applyAlignment="1" applyProtection="1">
      <alignment horizontal="center" vertical="center" shrinkToFit="1"/>
      <protection locked="0"/>
    </xf>
    <xf numFmtId="166" fontId="8" fillId="36" borderId="95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96" xfId="0" applyFont="1" applyFill="1" applyBorder="1" applyAlignment="1" applyProtection="1">
      <alignment horizontal="left" vertical="center"/>
      <protection hidden="1"/>
    </xf>
    <xf numFmtId="0" fontId="6" fillId="33" borderId="97" xfId="0" applyFont="1" applyFill="1" applyBorder="1" applyAlignment="1" applyProtection="1">
      <alignment horizontal="left" vertical="center"/>
      <protection hidden="1"/>
    </xf>
    <xf numFmtId="0" fontId="6" fillId="33" borderId="98" xfId="0" applyFont="1" applyFill="1" applyBorder="1" applyAlignment="1" applyProtection="1">
      <alignment horizontal="left" vertical="center"/>
      <protection hidden="1"/>
    </xf>
    <xf numFmtId="203" fontId="2" fillId="36" borderId="13" xfId="0" applyNumberFormat="1" applyFont="1" applyFill="1" applyBorder="1" applyAlignment="1" applyProtection="1">
      <alignment horizontal="right" vertical="center"/>
      <protection hidden="1"/>
    </xf>
    <xf numFmtId="0" fontId="3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 applyProtection="1">
      <alignment horizontal="center" vertical="center"/>
      <protection hidden="1"/>
    </xf>
    <xf numFmtId="0" fontId="2" fillId="36" borderId="32" xfId="0" applyFont="1" applyFill="1" applyBorder="1" applyAlignment="1" applyProtection="1">
      <alignment horizontal="center" vertical="center"/>
      <protection hidden="1"/>
    </xf>
    <xf numFmtId="0" fontId="2" fillId="36" borderId="35" xfId="0" applyFont="1" applyFill="1" applyBorder="1" applyAlignment="1" applyProtection="1">
      <alignment horizontal="center" vertical="center"/>
      <protection hidden="1"/>
    </xf>
    <xf numFmtId="0" fontId="2" fillId="36" borderId="38" xfId="0" applyFont="1" applyFill="1" applyBorder="1" applyAlignment="1" applyProtection="1">
      <alignment horizontal="center" vertical="center"/>
      <protection hidden="1"/>
    </xf>
    <xf numFmtId="0" fontId="2" fillId="36" borderId="33" xfId="0" applyFont="1" applyFill="1" applyBorder="1" applyAlignment="1" applyProtection="1">
      <alignment horizontal="center" vertical="center"/>
      <protection hidden="1"/>
    </xf>
    <xf numFmtId="0" fontId="2" fillId="36" borderId="39" xfId="0" applyFont="1" applyFill="1" applyBorder="1" applyAlignment="1" applyProtection="1">
      <alignment horizontal="center" vertical="center"/>
      <protection hidden="1"/>
    </xf>
    <xf numFmtId="0" fontId="6" fillId="33" borderId="42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93" xfId="0" applyFont="1" applyFill="1" applyBorder="1" applyAlignment="1" applyProtection="1">
      <alignment horizontal="left" vertical="center"/>
      <protection hidden="1"/>
    </xf>
    <xf numFmtId="0" fontId="6" fillId="33" borderId="94" xfId="0" applyFont="1" applyFill="1" applyBorder="1" applyAlignment="1" applyProtection="1">
      <alignment horizontal="left" vertical="center"/>
      <protection hidden="1"/>
    </xf>
    <xf numFmtId="0" fontId="6" fillId="33" borderId="95" xfId="0" applyFont="1" applyFill="1" applyBorder="1" applyAlignment="1" applyProtection="1">
      <alignment horizontal="left" vertical="center"/>
      <protection hidden="1"/>
    </xf>
    <xf numFmtId="0" fontId="2" fillId="0" borderId="94" xfId="0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167" fontId="2" fillId="0" borderId="97" xfId="0" applyNumberFormat="1" applyFont="1" applyFill="1" applyBorder="1" applyAlignment="1" applyProtection="1">
      <alignment horizontal="center" vertical="center"/>
      <protection locked="0"/>
    </xf>
    <xf numFmtId="167" fontId="2" fillId="0" borderId="98" xfId="0" applyNumberFormat="1" applyFont="1" applyFill="1" applyBorder="1" applyAlignment="1" applyProtection="1">
      <alignment horizontal="center" vertical="center"/>
      <protection locked="0"/>
    </xf>
    <xf numFmtId="0" fontId="2" fillId="36" borderId="92" xfId="0" applyFont="1" applyFill="1" applyBorder="1" applyAlignment="1" applyProtection="1">
      <alignment horizontal="left" vertical="center"/>
      <protection hidden="1"/>
    </xf>
    <xf numFmtId="0" fontId="2" fillId="36" borderId="90" xfId="0" applyFont="1" applyFill="1" applyBorder="1" applyAlignment="1" applyProtection="1">
      <alignment horizontal="left" vertical="center"/>
      <protection hidden="1"/>
    </xf>
    <xf numFmtId="0" fontId="2" fillId="36" borderId="91" xfId="0" applyFont="1" applyFill="1" applyBorder="1" applyAlignment="1" applyProtection="1">
      <alignment horizontal="left" vertical="center"/>
      <protection hidden="1"/>
    </xf>
    <xf numFmtId="185" fontId="2" fillId="36" borderId="94" xfId="0" applyNumberFormat="1" applyFont="1" applyFill="1" applyBorder="1" applyAlignment="1" applyProtection="1">
      <alignment horizontal="center" vertical="center"/>
      <protection locked="0"/>
    </xf>
    <xf numFmtId="185" fontId="2" fillId="36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7" xfId="0" applyFont="1" applyFill="1" applyBorder="1" applyAlignment="1" applyProtection="1">
      <alignment horizontal="center" vertical="center"/>
      <protection locked="0"/>
    </xf>
    <xf numFmtId="0" fontId="2" fillId="0" borderId="98" xfId="0" applyFont="1" applyFill="1" applyBorder="1" applyAlignment="1" applyProtection="1">
      <alignment horizontal="center" vertical="center"/>
      <protection locked="0"/>
    </xf>
    <xf numFmtId="204" fontId="2" fillId="36" borderId="93" xfId="0" applyNumberFormat="1" applyFont="1" applyFill="1" applyBorder="1" applyAlignment="1" applyProtection="1">
      <alignment horizontal="right" vertical="center"/>
      <protection locked="0"/>
    </xf>
    <xf numFmtId="204" fontId="2" fillId="36" borderId="94" xfId="0" applyNumberFormat="1" applyFont="1" applyFill="1" applyBorder="1" applyAlignment="1" applyProtection="1">
      <alignment horizontal="right" vertical="center"/>
      <protection locked="0"/>
    </xf>
    <xf numFmtId="203" fontId="2" fillId="36" borderId="92" xfId="0" applyNumberFormat="1" applyFont="1" applyFill="1" applyBorder="1" applyAlignment="1" applyProtection="1">
      <alignment horizontal="right" vertical="center"/>
      <protection locked="0"/>
    </xf>
    <xf numFmtId="203" fontId="2" fillId="36" borderId="90" xfId="0" applyNumberFormat="1" applyFont="1" applyFill="1" applyBorder="1" applyAlignment="1" applyProtection="1">
      <alignment horizontal="right" vertical="center"/>
      <protection locked="0"/>
    </xf>
    <xf numFmtId="203" fontId="2" fillId="36" borderId="33" xfId="0" applyNumberFormat="1" applyFont="1" applyFill="1" applyBorder="1" applyAlignment="1" applyProtection="1">
      <alignment horizontal="right" vertical="center"/>
      <protection hidden="1"/>
    </xf>
    <xf numFmtId="0" fontId="2" fillId="36" borderId="90" xfId="0" applyFont="1" applyFill="1" applyBorder="1" applyAlignment="1" applyProtection="1">
      <alignment horizontal="center" vertical="center"/>
      <protection locked="0"/>
    </xf>
    <xf numFmtId="0" fontId="2" fillId="36" borderId="91" xfId="0" applyFont="1" applyFill="1" applyBorder="1" applyAlignment="1" applyProtection="1">
      <alignment horizontal="center" vertical="center"/>
      <protection locked="0"/>
    </xf>
    <xf numFmtId="178" fontId="2" fillId="0" borderId="92" xfId="0" applyNumberFormat="1" applyFont="1" applyFill="1" applyBorder="1" applyAlignment="1" applyProtection="1" quotePrefix="1">
      <alignment horizontal="right" vertical="center"/>
      <protection locked="0"/>
    </xf>
    <xf numFmtId="178" fontId="2" fillId="0" borderId="90" xfId="0" applyNumberFormat="1" applyFont="1" applyFill="1" applyBorder="1" applyAlignment="1" applyProtection="1">
      <alignment horizontal="right" vertical="center"/>
      <protection locked="0"/>
    </xf>
    <xf numFmtId="177" fontId="2" fillId="36" borderId="94" xfId="0" applyNumberFormat="1" applyFont="1" applyFill="1" applyBorder="1" applyAlignment="1" applyProtection="1">
      <alignment horizontal="center" vertical="center"/>
      <protection locked="0"/>
    </xf>
    <xf numFmtId="177" fontId="2" fillId="36" borderId="95" xfId="0" applyNumberFormat="1" applyFont="1" applyFill="1" applyBorder="1" applyAlignment="1" applyProtection="1">
      <alignment horizontal="center" vertical="center"/>
      <protection locked="0"/>
    </xf>
    <xf numFmtId="179" fontId="2" fillId="0" borderId="99" xfId="0" applyNumberFormat="1" applyFont="1" applyFill="1" applyBorder="1" applyAlignment="1" applyProtection="1" quotePrefix="1">
      <alignment horizontal="right" vertical="center"/>
      <protection locked="0"/>
    </xf>
    <xf numFmtId="179" fontId="2" fillId="0" borderId="90" xfId="0" applyNumberFormat="1" applyFont="1" applyFill="1" applyBorder="1" applyAlignment="1" applyProtection="1">
      <alignment horizontal="right" vertical="center"/>
      <protection locked="0"/>
    </xf>
    <xf numFmtId="179" fontId="2" fillId="0" borderId="91" xfId="0" applyNumberFormat="1" applyFont="1" applyFill="1" applyBorder="1" applyAlignment="1" applyProtection="1">
      <alignment horizontal="right" vertical="center"/>
      <protection locked="0"/>
    </xf>
    <xf numFmtId="0" fontId="2" fillId="36" borderId="0" xfId="0" applyFont="1" applyFill="1" applyAlignment="1" applyProtection="1">
      <alignment horizontal="left" vertical="center"/>
      <protection hidden="1"/>
    </xf>
    <xf numFmtId="20" fontId="2" fillId="36" borderId="33" xfId="0" applyNumberFormat="1" applyFont="1" applyFill="1" applyBorder="1" applyAlignment="1" applyProtection="1">
      <alignment horizontal="center" vertical="center"/>
      <protection hidden="1"/>
    </xf>
    <xf numFmtId="180" fontId="2" fillId="36" borderId="33" xfId="0" applyNumberFormat="1" applyFont="1" applyFill="1" applyBorder="1" applyAlignment="1" applyProtection="1" quotePrefix="1">
      <alignment horizontal="center" vertical="center"/>
      <protection hidden="1"/>
    </xf>
    <xf numFmtId="180" fontId="2" fillId="36" borderId="33" xfId="0" applyNumberFormat="1" applyFont="1" applyFill="1" applyBorder="1" applyAlignment="1" applyProtection="1">
      <alignment horizontal="center" vertical="center"/>
      <protection hidden="1"/>
    </xf>
    <xf numFmtId="177" fontId="2" fillId="36" borderId="90" xfId="0" applyNumberFormat="1" applyFont="1" applyFill="1" applyBorder="1" applyAlignment="1" applyProtection="1">
      <alignment horizontal="center" vertical="center"/>
      <protection locked="0"/>
    </xf>
    <xf numFmtId="177" fontId="2" fillId="36" borderId="91" xfId="0" applyNumberFormat="1" applyFont="1" applyFill="1" applyBorder="1" applyAlignment="1" applyProtection="1">
      <alignment horizontal="center" vertical="center"/>
      <protection locked="0"/>
    </xf>
    <xf numFmtId="0" fontId="9" fillId="36" borderId="0" xfId="0" applyFont="1" applyFill="1" applyAlignment="1" applyProtection="1">
      <alignment horizontal="center" vertical="center"/>
      <protection hidden="1"/>
    </xf>
    <xf numFmtId="0" fontId="2" fillId="36" borderId="42" xfId="0" applyFont="1" applyFill="1" applyBorder="1" applyAlignment="1" applyProtection="1">
      <alignment horizontal="left" vertical="center"/>
      <protection hidden="1"/>
    </xf>
    <xf numFmtId="0" fontId="2" fillId="36" borderId="16" xfId="0" applyFont="1" applyFill="1" applyBorder="1" applyAlignment="1" applyProtection="1">
      <alignment horizontal="left" vertical="center"/>
      <protection hidden="1"/>
    </xf>
    <xf numFmtId="232" fontId="2" fillId="36" borderId="16" xfId="0" applyNumberFormat="1" applyFont="1" applyFill="1" applyBorder="1" applyAlignment="1" applyProtection="1">
      <alignment horizontal="center" vertical="center"/>
      <protection hidden="1"/>
    </xf>
    <xf numFmtId="232" fontId="2" fillId="36" borderId="17" xfId="0" applyNumberFormat="1" applyFont="1" applyFill="1" applyBorder="1" applyAlignment="1" applyProtection="1">
      <alignment horizontal="center" vertical="center"/>
      <protection hidden="1"/>
    </xf>
    <xf numFmtId="0" fontId="11" fillId="36" borderId="36" xfId="0" applyFont="1" applyFill="1" applyBorder="1" applyAlignment="1" applyProtection="1">
      <alignment horizontal="center" vertical="center"/>
      <protection hidden="1"/>
    </xf>
    <xf numFmtId="0" fontId="11" fillId="36" borderId="0" xfId="0" applyFont="1" applyFill="1" applyAlignment="1" applyProtection="1">
      <alignment horizontal="center" vertical="center"/>
      <protection hidden="1"/>
    </xf>
    <xf numFmtId="0" fontId="2" fillId="36" borderId="0" xfId="0" applyFont="1" applyFill="1" applyAlignment="1" applyProtection="1">
      <alignment horizontal="left" vertical="center" wrapText="1"/>
      <protection hidden="1"/>
    </xf>
    <xf numFmtId="182" fontId="2" fillId="36" borderId="16" xfId="0" applyNumberFormat="1" applyFont="1" applyFill="1" applyBorder="1" applyAlignment="1" applyProtection="1">
      <alignment horizontal="center" vertical="center"/>
      <protection hidden="1"/>
    </xf>
    <xf numFmtId="182" fontId="2" fillId="36" borderId="17" xfId="0" applyNumberFormat="1" applyFont="1" applyFill="1" applyBorder="1" applyAlignment="1" applyProtection="1">
      <alignment horizontal="center" vertical="center"/>
      <protection hidden="1"/>
    </xf>
    <xf numFmtId="0" fontId="13" fillId="36" borderId="0" xfId="0" applyFont="1" applyFill="1" applyAlignment="1" applyProtection="1">
      <alignment horizontal="center" vertical="center"/>
      <protection hidden="1"/>
    </xf>
    <xf numFmtId="0" fontId="7" fillId="36" borderId="14" xfId="0" applyFont="1" applyFill="1" applyBorder="1" applyAlignment="1" applyProtection="1">
      <alignment horizontal="center" vertical="center"/>
      <protection hidden="1"/>
    </xf>
    <xf numFmtId="0" fontId="2" fillId="36" borderId="14" xfId="0" applyFont="1" applyFill="1" applyBorder="1" applyAlignment="1" applyProtection="1">
      <alignment horizontal="left" vertical="center" indent="1"/>
      <protection locked="0"/>
    </xf>
    <xf numFmtId="186" fontId="2" fillId="36" borderId="14" xfId="0" applyNumberFormat="1" applyFont="1" applyFill="1" applyBorder="1" applyAlignment="1" applyProtection="1">
      <alignment horizontal="center" vertical="center"/>
      <protection locked="0"/>
    </xf>
    <xf numFmtId="182" fontId="2" fillId="36" borderId="14" xfId="0" applyNumberFormat="1" applyFont="1" applyFill="1" applyBorder="1" applyAlignment="1" applyProtection="1">
      <alignment horizontal="center" vertical="center"/>
      <protection locked="0"/>
    </xf>
    <xf numFmtId="0" fontId="2" fillId="36" borderId="14" xfId="0" applyFont="1" applyFill="1" applyBorder="1" applyAlignment="1" applyProtection="1">
      <alignment horizontal="center" vertical="center"/>
      <protection hidden="1"/>
    </xf>
    <xf numFmtId="20" fontId="2" fillId="36" borderId="13" xfId="0" applyNumberFormat="1" applyFont="1" applyFill="1" applyBorder="1" applyAlignment="1" applyProtection="1">
      <alignment horizontal="center" vertical="center"/>
      <protection hidden="1"/>
    </xf>
    <xf numFmtId="0" fontId="2" fillId="36" borderId="13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left" vertical="center" indent="1"/>
      <protection hidden="1" locked="0"/>
    </xf>
    <xf numFmtId="186" fontId="2" fillId="0" borderId="14" xfId="0" applyNumberFormat="1" applyFont="1" applyFill="1" applyBorder="1" applyAlignment="1" applyProtection="1">
      <alignment horizontal="center" vertical="center"/>
      <protection hidden="1" locked="0"/>
    </xf>
    <xf numFmtId="182" fontId="2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Fill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left" vertical="center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182" fontId="2" fillId="0" borderId="16" xfId="0" applyNumberFormat="1" applyFont="1" applyFill="1" applyBorder="1" applyAlignment="1" applyProtection="1">
      <alignment horizontal="center" vertical="center"/>
      <protection hidden="1"/>
    </xf>
    <xf numFmtId="182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33" xfId="0" applyFont="1" applyFill="1" applyBorder="1" applyAlignment="1" applyProtection="1">
      <alignment horizontal="left" vertical="center" indent="2"/>
      <protection hidden="1"/>
    </xf>
    <xf numFmtId="0" fontId="2" fillId="0" borderId="13" xfId="0" applyFont="1" applyFill="1" applyBorder="1" applyAlignment="1" applyProtection="1">
      <alignment horizontal="left" vertical="center" indent="2"/>
      <protection hidden="1"/>
    </xf>
    <xf numFmtId="181" fontId="2" fillId="0" borderId="16" xfId="0" applyNumberFormat="1" applyFont="1" applyFill="1" applyBorder="1" applyAlignment="1" applyProtection="1">
      <alignment horizontal="center" vertical="center"/>
      <protection hidden="1"/>
    </xf>
    <xf numFmtId="181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11" fillId="0" borderId="36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 vertical="center" wrapText="1"/>
      <protection hidden="1"/>
    </xf>
    <xf numFmtId="2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10" borderId="0" xfId="0" applyFont="1" applyFill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2" fillId="0" borderId="90" xfId="0" applyFont="1" applyFill="1" applyBorder="1" applyAlignment="1" applyProtection="1">
      <alignment horizontal="center" vertical="center"/>
      <protection hidden="1" locked="0"/>
    </xf>
    <xf numFmtId="0" fontId="2" fillId="0" borderId="91" xfId="0" applyFont="1" applyFill="1" applyBorder="1" applyAlignment="1" applyProtection="1">
      <alignment horizontal="center" vertical="center"/>
      <protection hidden="1" locked="0"/>
    </xf>
    <xf numFmtId="178" fontId="2" fillId="0" borderId="92" xfId="0" applyNumberFormat="1" applyFont="1" applyFill="1" applyBorder="1" applyAlignment="1" applyProtection="1" quotePrefix="1">
      <alignment horizontal="right" vertical="center"/>
      <protection hidden="1" locked="0"/>
    </xf>
    <xf numFmtId="178" fontId="2" fillId="0" borderId="90" xfId="0" applyNumberFormat="1" applyFont="1" applyFill="1" applyBorder="1" applyAlignment="1" applyProtection="1">
      <alignment horizontal="right" vertical="center"/>
      <protection hidden="1" locked="0"/>
    </xf>
    <xf numFmtId="178" fontId="2" fillId="0" borderId="100" xfId="0" applyNumberFormat="1" applyFont="1" applyFill="1" applyBorder="1" applyAlignment="1" applyProtection="1">
      <alignment horizontal="right" vertical="center"/>
      <protection hidden="1" locked="0"/>
    </xf>
    <xf numFmtId="180" fontId="2" fillId="0" borderId="33" xfId="0" applyNumberFormat="1" applyFont="1" applyFill="1" applyBorder="1" applyAlignment="1" applyProtection="1">
      <alignment horizontal="center" vertical="center"/>
      <protection hidden="1"/>
    </xf>
    <xf numFmtId="179" fontId="2" fillId="0" borderId="99" xfId="0" applyNumberFormat="1" applyFont="1" applyFill="1" applyBorder="1" applyAlignment="1" applyProtection="1" quotePrefix="1">
      <alignment horizontal="right" vertical="center"/>
      <protection hidden="1" locked="0"/>
    </xf>
    <xf numFmtId="179" fontId="2" fillId="0" borderId="90" xfId="0" applyNumberFormat="1" applyFont="1" applyFill="1" applyBorder="1" applyAlignment="1" applyProtection="1">
      <alignment horizontal="right" vertical="center"/>
      <protection hidden="1" locked="0"/>
    </xf>
    <xf numFmtId="179" fontId="2" fillId="0" borderId="91" xfId="0" applyNumberFormat="1" applyFont="1" applyFill="1" applyBorder="1" applyAlignment="1" applyProtection="1">
      <alignment horizontal="right" vertical="center"/>
      <protection hidden="1" locked="0"/>
    </xf>
    <xf numFmtId="20" fontId="2" fillId="0" borderId="33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180" fontId="2" fillId="0" borderId="33" xfId="0" applyNumberFormat="1" applyFont="1" applyFill="1" applyBorder="1" applyAlignment="1" applyProtection="1" quotePrefix="1">
      <alignment horizontal="center" vertical="center"/>
      <protection hidden="1"/>
    </xf>
    <xf numFmtId="0" fontId="2" fillId="0" borderId="92" xfId="0" applyFont="1" applyFill="1" applyBorder="1" applyAlignment="1" applyProtection="1">
      <alignment horizontal="left" vertical="center"/>
      <protection hidden="1"/>
    </xf>
    <xf numFmtId="0" fontId="2" fillId="0" borderId="90" xfId="0" applyFont="1" applyFill="1" applyBorder="1" applyAlignment="1" applyProtection="1">
      <alignment horizontal="left" vertical="center"/>
      <protection hidden="1"/>
    </xf>
    <xf numFmtId="0" fontId="2" fillId="0" borderId="91" xfId="0" applyFont="1" applyFill="1" applyBorder="1" applyAlignment="1" applyProtection="1">
      <alignment horizontal="left" vertical="center"/>
      <protection hidden="1"/>
    </xf>
    <xf numFmtId="177" fontId="2" fillId="0" borderId="90" xfId="0" applyNumberFormat="1" applyFont="1" applyFill="1" applyBorder="1" applyAlignment="1" applyProtection="1">
      <alignment horizontal="center" vertical="center"/>
      <protection hidden="1" locked="0"/>
    </xf>
    <xf numFmtId="177" fontId="2" fillId="0" borderId="91" xfId="0" applyNumberFormat="1" applyFont="1" applyFill="1" applyBorder="1" applyAlignment="1" applyProtection="1">
      <alignment horizontal="center" vertical="center"/>
      <protection hidden="1" locked="0"/>
    </xf>
    <xf numFmtId="0" fontId="2" fillId="0" borderId="94" xfId="0" applyFont="1" applyFill="1" applyBorder="1" applyAlignment="1" applyProtection="1">
      <alignment horizontal="center" vertical="center"/>
      <protection hidden="1" locked="0"/>
    </xf>
    <xf numFmtId="0" fontId="2" fillId="0" borderId="95" xfId="0" applyFont="1" applyFill="1" applyBorder="1" applyAlignment="1" applyProtection="1">
      <alignment horizontal="center" vertical="center"/>
      <protection hidden="1" locked="0"/>
    </xf>
    <xf numFmtId="0" fontId="2" fillId="0" borderId="93" xfId="0" applyFont="1" applyFill="1" applyBorder="1" applyAlignment="1" applyProtection="1">
      <alignment horizontal="left" vertical="center"/>
      <protection hidden="1"/>
    </xf>
    <xf numFmtId="0" fontId="2" fillId="0" borderId="94" xfId="0" applyFont="1" applyFill="1" applyBorder="1" applyAlignment="1" applyProtection="1">
      <alignment horizontal="left" vertical="center"/>
      <protection hidden="1"/>
    </xf>
    <xf numFmtId="0" fontId="2" fillId="0" borderId="95" xfId="0" applyFont="1" applyFill="1" applyBorder="1" applyAlignment="1" applyProtection="1">
      <alignment horizontal="left" vertical="center"/>
      <protection hidden="1"/>
    </xf>
    <xf numFmtId="177" fontId="2" fillId="0" borderId="94" xfId="0" applyNumberFormat="1" applyFont="1" applyFill="1" applyBorder="1" applyAlignment="1" applyProtection="1">
      <alignment horizontal="center" vertical="center"/>
      <protection hidden="1" locked="0"/>
    </xf>
    <xf numFmtId="177" fontId="2" fillId="0" borderId="95" xfId="0" applyNumberFormat="1" applyFont="1" applyFill="1" applyBorder="1" applyAlignment="1" applyProtection="1">
      <alignment horizontal="center" vertical="center"/>
      <protection hidden="1" locked="0"/>
    </xf>
    <xf numFmtId="185" fontId="2" fillId="0" borderId="94" xfId="0" applyNumberFormat="1" applyFont="1" applyFill="1" applyBorder="1" applyAlignment="1" applyProtection="1">
      <alignment horizontal="center" vertical="center"/>
      <protection hidden="1" locked="0"/>
    </xf>
    <xf numFmtId="185" fontId="2" fillId="0" borderId="9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97" xfId="0" applyFont="1" applyFill="1" applyBorder="1" applyAlignment="1" applyProtection="1">
      <alignment horizontal="center" vertical="center"/>
      <protection hidden="1" locked="0"/>
    </xf>
    <xf numFmtId="0" fontId="2" fillId="0" borderId="98" xfId="0" applyFont="1" applyFill="1" applyBorder="1" applyAlignment="1" applyProtection="1">
      <alignment horizontal="center" vertical="center"/>
      <protection hidden="1" locked="0"/>
    </xf>
    <xf numFmtId="165" fontId="2" fillId="0" borderId="94" xfId="0" applyNumberFormat="1" applyFont="1" applyFill="1" applyBorder="1" applyAlignment="1" applyProtection="1">
      <alignment horizontal="center" vertical="center"/>
      <protection hidden="1" locked="0"/>
    </xf>
    <xf numFmtId="0" fontId="2" fillId="0" borderId="94" xfId="0" applyFont="1" applyFill="1" applyBorder="1" applyAlignment="1" applyProtection="1">
      <alignment horizontal="left" vertical="center"/>
      <protection hidden="1" locked="0"/>
    </xf>
    <xf numFmtId="0" fontId="2" fillId="0" borderId="95" xfId="0" applyFont="1" applyFill="1" applyBorder="1" applyAlignment="1" applyProtection="1">
      <alignment horizontal="left" vertical="center"/>
      <protection hidden="1" locked="0"/>
    </xf>
    <xf numFmtId="166" fontId="8" fillId="0" borderId="94" xfId="0" applyNumberFormat="1" applyFont="1" applyFill="1" applyBorder="1" applyAlignment="1" applyProtection="1">
      <alignment horizontal="center" vertical="center" shrinkToFit="1"/>
      <protection hidden="1" locked="0"/>
    </xf>
    <xf numFmtId="166" fontId="8" fillId="0" borderId="95" xfId="0" applyNumberFormat="1" applyFont="1" applyFill="1" applyBorder="1" applyAlignment="1" applyProtection="1">
      <alignment horizontal="center" vertical="center" shrinkToFit="1"/>
      <protection hidden="1" locked="0"/>
    </xf>
    <xf numFmtId="167" fontId="2" fillId="0" borderId="97" xfId="0" applyNumberFormat="1" applyFont="1" applyFill="1" applyBorder="1" applyAlignment="1" applyProtection="1">
      <alignment horizontal="center" vertical="center"/>
      <protection hidden="1" locked="0"/>
    </xf>
    <xf numFmtId="167" fontId="2" fillId="0" borderId="98" xfId="0" applyNumberFormat="1" applyFont="1" applyFill="1" applyBorder="1" applyAlignment="1" applyProtection="1">
      <alignment horizontal="center" vertical="center"/>
      <protection hidden="1" locked="0"/>
    </xf>
    <xf numFmtId="170" fontId="2" fillId="0" borderId="90" xfId="0" applyNumberFormat="1" applyFont="1" applyFill="1" applyBorder="1" applyAlignment="1" applyProtection="1">
      <alignment horizontal="right" vertical="center"/>
      <protection hidden="1" locked="0"/>
    </xf>
    <xf numFmtId="165" fontId="2" fillId="0" borderId="9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90" xfId="0" applyFont="1" applyFill="1" applyBorder="1" applyAlignment="1" applyProtection="1">
      <alignment horizontal="left" vertical="center"/>
      <protection hidden="1" locked="0"/>
    </xf>
    <xf numFmtId="0" fontId="2" fillId="0" borderId="91" xfId="0" applyFont="1" applyFill="1" applyBorder="1" applyAlignment="1" applyProtection="1">
      <alignment horizontal="left" vertical="center"/>
      <protection hidden="1" locked="0"/>
    </xf>
    <xf numFmtId="171" fontId="8" fillId="0" borderId="90" xfId="0" applyNumberFormat="1" applyFont="1" applyFill="1" applyBorder="1" applyAlignment="1" applyProtection="1">
      <alignment horizontal="center" vertical="center" shrinkToFit="1"/>
      <protection hidden="1" locked="0"/>
    </xf>
    <xf numFmtId="171" fontId="8" fillId="0" borderId="91" xfId="0" applyNumberFormat="1" applyFont="1" applyFill="1" applyBorder="1" applyAlignment="1" applyProtection="1">
      <alignment horizontal="center" vertical="center" shrinkToFit="1"/>
      <protection hidden="1" locked="0"/>
    </xf>
    <xf numFmtId="172" fontId="2" fillId="0" borderId="90" xfId="0" applyNumberFormat="1" applyFont="1" applyFill="1" applyBorder="1" applyAlignment="1" applyProtection="1">
      <alignment horizontal="center" vertical="center"/>
      <protection hidden="1" locked="0"/>
    </xf>
    <xf numFmtId="172" fontId="2" fillId="0" borderId="91" xfId="0" applyNumberFormat="1" applyFont="1" applyFill="1" applyBorder="1" applyAlignment="1" applyProtection="1">
      <alignment horizontal="center" vertical="center"/>
      <protection hidden="1" locked="0"/>
    </xf>
    <xf numFmtId="164" fontId="2" fillId="0" borderId="94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65" fillId="37" borderId="19" xfId="0" applyFont="1" applyFill="1" applyBorder="1" applyAlignment="1" applyProtection="1">
      <alignment horizontal="center" vertical="center"/>
      <protection hidden="1"/>
    </xf>
    <xf numFmtId="0" fontId="65" fillId="37" borderId="22" xfId="0" applyFont="1" applyFill="1" applyBorder="1" applyAlignment="1" applyProtection="1">
      <alignment horizontal="center" vertical="center"/>
      <protection hidden="1"/>
    </xf>
    <xf numFmtId="209" fontId="2" fillId="0" borderId="13" xfId="0" applyNumberFormat="1" applyFont="1" applyFill="1" applyBorder="1" applyAlignment="1" applyProtection="1">
      <alignment horizontal="center" vertical="center"/>
      <protection hidden="1"/>
    </xf>
    <xf numFmtId="209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65" fillId="37" borderId="101" xfId="0" applyFont="1" applyFill="1" applyBorder="1" applyAlignment="1" applyProtection="1">
      <alignment horizontal="center" vertical="center"/>
      <protection hidden="1"/>
    </xf>
    <xf numFmtId="0" fontId="65" fillId="37" borderId="75" xfId="0" applyFont="1" applyFill="1" applyBorder="1" applyAlignment="1" applyProtection="1">
      <alignment horizontal="center" vertical="center"/>
      <protection hidden="1"/>
    </xf>
    <xf numFmtId="0" fontId="65" fillId="37" borderId="76" xfId="0" applyFont="1" applyFill="1" applyBorder="1" applyAlignment="1" applyProtection="1">
      <alignment horizontal="center" vertical="center"/>
      <protection hidden="1"/>
    </xf>
    <xf numFmtId="207" fontId="2" fillId="0" borderId="97" xfId="0" applyNumberFormat="1" applyFont="1" applyBorder="1" applyAlignment="1" applyProtection="1">
      <alignment horizontal="center" vertical="center"/>
      <protection hidden="1"/>
    </xf>
    <xf numFmtId="207" fontId="2" fillId="0" borderId="102" xfId="0" applyNumberFormat="1" applyFont="1" applyBorder="1" applyAlignment="1" applyProtection="1">
      <alignment horizontal="center" vertical="center"/>
      <protection hidden="1"/>
    </xf>
    <xf numFmtId="0" fontId="2" fillId="0" borderId="103" xfId="48" applyFont="1" applyFill="1" applyBorder="1" applyAlignment="1" applyProtection="1">
      <alignment horizontal="center" vertical="center"/>
      <protection hidden="1"/>
    </xf>
    <xf numFmtId="0" fontId="2" fillId="0" borderId="104" xfId="48" applyFont="1" applyFill="1" applyBorder="1" applyAlignment="1" applyProtection="1">
      <alignment horizontal="center" vertical="center"/>
      <protection hidden="1"/>
    </xf>
    <xf numFmtId="0" fontId="2" fillId="33" borderId="57" xfId="0" applyFont="1" applyFill="1" applyBorder="1" applyAlignment="1" applyProtection="1">
      <alignment horizontal="center" vertical="center"/>
      <protection hidden="1"/>
    </xf>
    <xf numFmtId="0" fontId="2" fillId="33" borderId="49" xfId="0" applyFont="1" applyFill="1" applyBorder="1" applyAlignment="1" applyProtection="1">
      <alignment horizontal="center" vertical="center"/>
      <protection hidden="1"/>
    </xf>
    <xf numFmtId="207" fontId="120" fillId="33" borderId="23" xfId="0" applyNumberFormat="1" applyFont="1" applyFill="1" applyBorder="1" applyAlignment="1" applyProtection="1">
      <alignment horizontal="center"/>
      <protection hidden="1"/>
    </xf>
    <xf numFmtId="207" fontId="120" fillId="33" borderId="57" xfId="0" applyNumberFormat="1" applyFont="1" applyFill="1" applyBorder="1" applyAlignment="1" applyProtection="1">
      <alignment horizontal="center"/>
      <protection hidden="1"/>
    </xf>
    <xf numFmtId="168" fontId="2" fillId="0" borderId="20" xfId="0" applyNumberFormat="1" applyFont="1" applyFill="1" applyBorder="1" applyAlignment="1" applyProtection="1">
      <alignment horizontal="center" vertical="center"/>
      <protection hidden="1"/>
    </xf>
    <xf numFmtId="168" fontId="2" fillId="0" borderId="48" xfId="0" applyNumberFormat="1" applyFont="1" applyFill="1" applyBorder="1" applyAlignment="1" applyProtection="1">
      <alignment horizontal="center" vertical="center"/>
      <protection hidden="1"/>
    </xf>
    <xf numFmtId="0" fontId="16" fillId="41" borderId="42" xfId="0" applyFont="1" applyFill="1" applyBorder="1" applyAlignment="1" applyProtection="1">
      <alignment horizontal="left" vertical="center"/>
      <protection hidden="1"/>
    </xf>
    <xf numFmtId="0" fontId="16" fillId="41" borderId="16" xfId="0" applyFont="1" applyFill="1" applyBorder="1" applyAlignment="1" applyProtection="1">
      <alignment horizontal="left" vertical="center"/>
      <protection hidden="1"/>
    </xf>
    <xf numFmtId="0" fontId="16" fillId="41" borderId="17" xfId="0" applyFont="1" applyFill="1" applyBorder="1" applyAlignment="1" applyProtection="1">
      <alignment horizontal="left" vertical="center"/>
      <protection hidden="1"/>
    </xf>
    <xf numFmtId="203" fontId="2" fillId="33" borderId="16" xfId="0" applyNumberFormat="1" applyFont="1" applyFill="1" applyBorder="1" applyAlignment="1" applyProtection="1">
      <alignment horizontal="left" vertical="center"/>
      <protection hidden="1"/>
    </xf>
    <xf numFmtId="203" fontId="2" fillId="33" borderId="17" xfId="0" applyNumberFormat="1" applyFont="1" applyFill="1" applyBorder="1" applyAlignment="1" applyProtection="1">
      <alignment horizontal="left" vertical="center"/>
      <protection hidden="1"/>
    </xf>
    <xf numFmtId="202" fontId="2" fillId="33" borderId="42" xfId="0" applyNumberFormat="1" applyFont="1" applyFill="1" applyBorder="1" applyAlignment="1" applyProtection="1">
      <alignment horizontal="right" vertical="center"/>
      <protection hidden="1"/>
    </xf>
    <xf numFmtId="202" fontId="2" fillId="33" borderId="16" xfId="0" applyNumberFormat="1" applyFont="1" applyFill="1" applyBorder="1" applyAlignment="1" applyProtection="1">
      <alignment horizontal="right" vertical="center"/>
      <protection hidden="1"/>
    </xf>
    <xf numFmtId="0" fontId="2" fillId="36" borderId="10" xfId="0" applyFont="1" applyFill="1" applyBorder="1" applyAlignment="1" applyProtection="1">
      <alignment horizontal="center" vertical="center" shrinkToFit="1"/>
      <protection hidden="1"/>
    </xf>
    <xf numFmtId="0" fontId="16" fillId="33" borderId="14" xfId="0" applyFont="1" applyFill="1" applyBorder="1" applyAlignment="1" applyProtection="1">
      <alignment horizontal="left" vertical="center" shrinkToFit="1"/>
      <protection hidden="1"/>
    </xf>
    <xf numFmtId="0" fontId="16" fillId="33" borderId="14" xfId="0" applyFont="1" applyFill="1" applyBorder="1" applyAlignment="1" applyProtection="1" quotePrefix="1">
      <alignment horizontal="left" vertical="center" shrinkToFit="1"/>
      <protection hidden="1"/>
    </xf>
    <xf numFmtId="205" fontId="142" fillId="36" borderId="16" xfId="0" applyNumberFormat="1" applyFont="1" applyFill="1" applyBorder="1" applyAlignment="1" applyProtection="1">
      <alignment horizontal="center" vertical="center"/>
      <protection locked="0"/>
    </xf>
    <xf numFmtId="205" fontId="142" fillId="36" borderId="17" xfId="0" applyNumberFormat="1" applyFont="1" applyFill="1" applyBorder="1" applyAlignment="1" applyProtection="1">
      <alignment horizontal="center" vertical="center"/>
      <protection locked="0"/>
    </xf>
    <xf numFmtId="192" fontId="2" fillId="33" borderId="42" xfId="0" applyNumberFormat="1" applyFont="1" applyFill="1" applyBorder="1" applyAlignment="1" applyProtection="1">
      <alignment horizontal="right" vertical="center"/>
      <protection hidden="1"/>
    </xf>
    <xf numFmtId="192" fontId="2" fillId="33" borderId="16" xfId="0" applyNumberFormat="1" applyFont="1" applyFill="1" applyBorder="1" applyAlignment="1" applyProtection="1">
      <alignment horizontal="right" vertical="center"/>
      <protection hidden="1"/>
    </xf>
    <xf numFmtId="201" fontId="2" fillId="33" borderId="42" xfId="0" applyNumberFormat="1" applyFont="1" applyFill="1" applyBorder="1" applyAlignment="1" applyProtection="1">
      <alignment horizontal="right" vertical="center"/>
      <protection hidden="1"/>
    </xf>
    <xf numFmtId="201" fontId="2" fillId="33" borderId="16" xfId="0" applyNumberFormat="1" applyFont="1" applyFill="1" applyBorder="1" applyAlignment="1" applyProtection="1">
      <alignment horizontal="righ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6" borderId="17" xfId="0" applyFont="1" applyFill="1" applyBorder="1" applyAlignment="1" applyProtection="1">
      <alignment horizontal="left" vertical="center"/>
      <protection hidden="1"/>
    </xf>
    <xf numFmtId="165" fontId="2" fillId="33" borderId="42" xfId="0" applyNumberFormat="1" applyFont="1" applyFill="1" applyBorder="1" applyAlignment="1" applyProtection="1">
      <alignment horizontal="right" vertical="center"/>
      <protection hidden="1"/>
    </xf>
    <xf numFmtId="165" fontId="2" fillId="33" borderId="16" xfId="0" applyNumberFormat="1" applyFont="1" applyFill="1" applyBorder="1" applyAlignment="1" applyProtection="1">
      <alignment horizontal="right" vertical="center"/>
      <protection hidden="1"/>
    </xf>
    <xf numFmtId="204" fontId="2" fillId="33" borderId="42" xfId="0" applyNumberFormat="1" applyFont="1" applyFill="1" applyBorder="1" applyAlignment="1" applyProtection="1">
      <alignment horizontal="right" vertical="center"/>
      <protection hidden="1"/>
    </xf>
    <xf numFmtId="204" fontId="2" fillId="33" borderId="16" xfId="0" applyNumberFormat="1" applyFont="1" applyFill="1" applyBorder="1" applyAlignment="1" applyProtection="1">
      <alignment horizontal="right" vertical="center"/>
      <protection hidden="1"/>
    </xf>
    <xf numFmtId="178" fontId="2" fillId="36" borderId="92" xfId="0" applyNumberFormat="1" applyFont="1" applyFill="1" applyBorder="1" applyAlignment="1" applyProtection="1">
      <alignment horizontal="center" vertical="center"/>
      <protection locked="0"/>
    </xf>
    <xf numFmtId="178" fontId="2" fillId="36" borderId="90" xfId="0" applyNumberFormat="1" applyFont="1" applyFill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 applyProtection="1">
      <alignment horizontal="left" vertical="center"/>
      <protection hidden="1"/>
    </xf>
    <xf numFmtId="189" fontId="2" fillId="0" borderId="42" xfId="0" applyNumberFormat="1" applyFont="1" applyFill="1" applyBorder="1" applyAlignment="1" applyProtection="1">
      <alignment horizontal="center" vertical="center" shrinkToFit="1"/>
      <protection locked="0"/>
    </xf>
    <xf numFmtId="18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89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04" fontId="2" fillId="36" borderId="42" xfId="0" applyNumberFormat="1" applyFont="1" applyFill="1" applyBorder="1" applyAlignment="1" applyProtection="1">
      <alignment horizontal="right" vertical="center"/>
      <protection locked="0"/>
    </xf>
    <xf numFmtId="204" fontId="2" fillId="36" borderId="16" xfId="0" applyNumberFormat="1" applyFont="1" applyFill="1" applyBorder="1" applyAlignment="1" applyProtection="1">
      <alignment horizontal="right" vertical="center"/>
      <protection locked="0"/>
    </xf>
    <xf numFmtId="179" fontId="2" fillId="36" borderId="90" xfId="0" applyNumberFormat="1" applyFont="1" applyFill="1" applyBorder="1" applyAlignment="1" applyProtection="1">
      <alignment horizontal="center" vertical="center"/>
      <protection locked="0"/>
    </xf>
    <xf numFmtId="179" fontId="2" fillId="36" borderId="91" xfId="0" applyNumberFormat="1" applyFont="1" applyFill="1" applyBorder="1" applyAlignment="1" applyProtection="1">
      <alignment horizontal="center" vertical="center"/>
      <protection locked="0"/>
    </xf>
    <xf numFmtId="187" fontId="2" fillId="33" borderId="42" xfId="0" applyNumberFormat="1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189" fontId="2" fillId="33" borderId="42" xfId="0" applyNumberFormat="1" applyFont="1" applyFill="1" applyBorder="1" applyAlignment="1" applyProtection="1">
      <alignment horizontal="center" vertical="center" shrinkToFit="1"/>
      <protection hidden="1"/>
    </xf>
    <xf numFmtId="189" fontId="2" fillId="33" borderId="16" xfId="0" applyNumberFormat="1" applyFont="1" applyFill="1" applyBorder="1" applyAlignment="1" applyProtection="1">
      <alignment horizontal="center" vertical="center" shrinkToFit="1"/>
      <protection hidden="1"/>
    </xf>
    <xf numFmtId="189" fontId="2" fillId="33" borderId="17" xfId="0" applyNumberFormat="1" applyFont="1" applyFill="1" applyBorder="1" applyAlignment="1" applyProtection="1">
      <alignment horizontal="center" vertical="center" shrinkToFit="1"/>
      <protection hidden="1"/>
    </xf>
    <xf numFmtId="199" fontId="2" fillId="33" borderId="42" xfId="0" applyNumberFormat="1" applyFont="1" applyFill="1" applyBorder="1" applyAlignment="1" applyProtection="1">
      <alignment horizontal="right" vertical="center"/>
      <protection hidden="1"/>
    </xf>
    <xf numFmtId="199" fontId="2" fillId="33" borderId="16" xfId="0" applyNumberFormat="1" applyFont="1" applyFill="1" applyBorder="1" applyAlignment="1" applyProtection="1">
      <alignment horizontal="right" vertical="center"/>
      <protection hidden="1"/>
    </xf>
    <xf numFmtId="0" fontId="16" fillId="33" borderId="42" xfId="0" applyFont="1" applyFill="1" applyBorder="1" applyAlignment="1" applyProtection="1" quotePrefix="1">
      <alignment horizontal="left" vertical="center" shrinkToFit="1"/>
      <protection hidden="1"/>
    </xf>
    <xf numFmtId="0" fontId="16" fillId="33" borderId="16" xfId="0" applyFont="1" applyFill="1" applyBorder="1" applyAlignment="1" applyProtection="1">
      <alignment horizontal="left" vertical="center" shrinkToFit="1"/>
      <protection hidden="1"/>
    </xf>
    <xf numFmtId="0" fontId="16" fillId="33" borderId="17" xfId="0" applyFont="1" applyFill="1" applyBorder="1" applyAlignment="1" applyProtection="1">
      <alignment horizontal="left" vertical="center" shrinkToFit="1"/>
      <protection hidden="1"/>
    </xf>
    <xf numFmtId="200" fontId="2" fillId="33" borderId="42" xfId="0" applyNumberFormat="1" applyFont="1" applyFill="1" applyBorder="1" applyAlignment="1" applyProtection="1">
      <alignment horizontal="right" vertical="center"/>
      <protection hidden="1"/>
    </xf>
    <xf numFmtId="200" fontId="2" fillId="33" borderId="16" xfId="0" applyNumberFormat="1" applyFont="1" applyFill="1" applyBorder="1" applyAlignment="1" applyProtection="1">
      <alignment horizontal="right" vertical="center"/>
      <protection hidden="1"/>
    </xf>
    <xf numFmtId="0" fontId="16" fillId="33" borderId="42" xfId="0" applyFont="1" applyFill="1" applyBorder="1" applyAlignment="1" applyProtection="1">
      <alignment horizontal="left" vertical="center" shrinkToFit="1"/>
      <protection hidden="1"/>
    </xf>
    <xf numFmtId="190" fontId="2" fillId="0" borderId="42" xfId="0" applyNumberFormat="1" applyFont="1" applyFill="1" applyBorder="1" applyAlignment="1" applyProtection="1">
      <alignment horizontal="center" vertical="center"/>
      <protection locked="0"/>
    </xf>
    <xf numFmtId="190" fontId="2" fillId="0" borderId="16" xfId="0" applyNumberFormat="1" applyFont="1" applyFill="1" applyBorder="1" applyAlignment="1" applyProtection="1">
      <alignment horizontal="center" vertical="center"/>
      <protection locked="0"/>
    </xf>
    <xf numFmtId="190" fontId="2" fillId="0" borderId="105" xfId="0" applyNumberFormat="1" applyFont="1" applyFill="1" applyBorder="1" applyAlignment="1" applyProtection="1">
      <alignment horizontal="center" vertical="center"/>
      <protection locked="0"/>
    </xf>
    <xf numFmtId="191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91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2" fillId="0" borderId="42" xfId="0" applyNumberFormat="1" applyFont="1" applyFill="1" applyBorder="1" applyAlignment="1" applyProtection="1">
      <alignment horizontal="right" vertical="center"/>
      <protection locked="0"/>
    </xf>
    <xf numFmtId="192" fontId="2" fillId="0" borderId="16" xfId="0" applyNumberFormat="1" applyFont="1" applyFill="1" applyBorder="1" applyAlignment="1" applyProtection="1">
      <alignment horizontal="right" vertical="center"/>
      <protection locked="0"/>
    </xf>
    <xf numFmtId="228" fontId="2" fillId="33" borderId="42" xfId="0" applyNumberFormat="1" applyFont="1" applyFill="1" applyBorder="1" applyAlignment="1" applyProtection="1">
      <alignment horizontal="right" vertical="center"/>
      <protection hidden="1"/>
    </xf>
    <xf numFmtId="228" fontId="2" fillId="33" borderId="16" xfId="0" applyNumberFormat="1" applyFont="1" applyFill="1" applyBorder="1" applyAlignment="1" applyProtection="1">
      <alignment horizontal="right" vertical="center"/>
      <protection hidden="1"/>
    </xf>
    <xf numFmtId="203" fontId="2" fillId="36" borderId="16" xfId="0" applyNumberFormat="1" applyFont="1" applyFill="1" applyBorder="1" applyAlignment="1" applyProtection="1">
      <alignment horizontal="left" vertical="center"/>
      <protection hidden="1"/>
    </xf>
    <xf numFmtId="203" fontId="2" fillId="36" borderId="17" xfId="0" applyNumberFormat="1" applyFont="1" applyFill="1" applyBorder="1" applyAlignment="1" applyProtection="1">
      <alignment horizontal="left" vertical="center"/>
      <protection hidden="1"/>
    </xf>
    <xf numFmtId="188" fontId="2" fillId="0" borderId="42" xfId="0" applyNumberFormat="1" applyFont="1" applyFill="1" applyBorder="1" applyAlignment="1" applyProtection="1" quotePrefix="1">
      <alignment horizontal="center" vertical="center"/>
      <protection locked="0"/>
    </xf>
    <xf numFmtId="188" fontId="2" fillId="0" borderId="16" xfId="0" applyNumberFormat="1" applyFont="1" applyFill="1" applyBorder="1" applyAlignment="1" applyProtection="1" quotePrefix="1">
      <alignment horizontal="center" vertical="center"/>
      <protection locked="0"/>
    </xf>
    <xf numFmtId="188" fontId="2" fillId="0" borderId="17" xfId="0" applyNumberFormat="1" applyFont="1" applyFill="1" applyBorder="1" applyAlignment="1" applyProtection="1" quotePrefix="1">
      <alignment horizontal="center" vertical="center"/>
      <protection locked="0"/>
    </xf>
    <xf numFmtId="188" fontId="2" fillId="33" borderId="42" xfId="0" applyNumberFormat="1" applyFont="1" applyFill="1" applyBorder="1" applyAlignment="1" applyProtection="1" quotePrefix="1">
      <alignment horizontal="center" vertical="center"/>
      <protection hidden="1"/>
    </xf>
    <xf numFmtId="188" fontId="2" fillId="33" borderId="16" xfId="0" applyNumberFormat="1" applyFont="1" applyFill="1" applyBorder="1" applyAlignment="1" applyProtection="1" quotePrefix="1">
      <alignment horizontal="center" vertical="center"/>
      <protection hidden="1"/>
    </xf>
    <xf numFmtId="188" fontId="2" fillId="33" borderId="17" xfId="0" applyNumberFormat="1" applyFont="1" applyFill="1" applyBorder="1" applyAlignment="1" applyProtection="1" quotePrefix="1">
      <alignment horizontal="center" vertical="center"/>
      <protection hidden="1"/>
    </xf>
    <xf numFmtId="187" fontId="2" fillId="0" borderId="42" xfId="0" applyNumberFormat="1" applyFont="1" applyFill="1" applyBorder="1" applyAlignment="1" applyProtection="1">
      <alignment horizontal="center" vertical="center"/>
      <protection locked="0"/>
    </xf>
    <xf numFmtId="187" fontId="2" fillId="0" borderId="16" xfId="0" applyNumberFormat="1" applyFont="1" applyFill="1" applyBorder="1" applyAlignment="1" applyProtection="1">
      <alignment horizontal="center" vertical="center"/>
      <protection locked="0"/>
    </xf>
    <xf numFmtId="187" fontId="2" fillId="0" borderId="17" xfId="0" applyNumberFormat="1" applyFont="1" applyFill="1" applyBorder="1" applyAlignment="1" applyProtection="1">
      <alignment horizontal="center" vertical="center"/>
      <protection locked="0"/>
    </xf>
    <xf numFmtId="204" fontId="2" fillId="0" borderId="42" xfId="0" applyNumberFormat="1" applyFont="1" applyFill="1" applyBorder="1" applyAlignment="1" applyProtection="1">
      <alignment horizontal="right" vertical="center"/>
      <protection locked="0"/>
    </xf>
    <xf numFmtId="204" fontId="2" fillId="0" borderId="16" xfId="0" applyNumberFormat="1" applyFont="1" applyFill="1" applyBorder="1" applyAlignment="1" applyProtection="1">
      <alignment horizontal="right" vertical="center"/>
      <protection locked="0"/>
    </xf>
    <xf numFmtId="168" fontId="2" fillId="33" borderId="42" xfId="0" applyNumberFormat="1" applyFont="1" applyFill="1" applyBorder="1" applyAlignment="1" applyProtection="1">
      <alignment horizontal="right" vertical="center"/>
      <protection hidden="1"/>
    </xf>
    <xf numFmtId="168" fontId="2" fillId="33" borderId="16" xfId="0" applyNumberFormat="1" applyFont="1" applyFill="1" applyBorder="1" applyAlignment="1" applyProtection="1">
      <alignment horizontal="right" vertical="center"/>
      <protection hidden="1"/>
    </xf>
    <xf numFmtId="0" fontId="16" fillId="41" borderId="42" xfId="0" applyFont="1" applyFill="1" applyBorder="1" applyAlignment="1" applyProtection="1">
      <alignment horizontal="center" vertical="center"/>
      <protection hidden="1"/>
    </xf>
    <xf numFmtId="0" fontId="16" fillId="41" borderId="16" xfId="0" applyFont="1" applyFill="1" applyBorder="1" applyAlignment="1" applyProtection="1">
      <alignment horizontal="center" vertical="center"/>
      <protection hidden="1"/>
    </xf>
    <xf numFmtId="0" fontId="16" fillId="41" borderId="17" xfId="0" applyFont="1" applyFill="1" applyBorder="1" applyAlignment="1" applyProtection="1">
      <alignment horizontal="center" vertical="center"/>
      <protection hidden="1"/>
    </xf>
    <xf numFmtId="202" fontId="2" fillId="0" borderId="42" xfId="0" applyNumberFormat="1" applyFont="1" applyFill="1" applyBorder="1" applyAlignment="1" applyProtection="1">
      <alignment horizontal="right" vertical="center"/>
      <protection locked="0"/>
    </xf>
    <xf numFmtId="202" fontId="2" fillId="0" borderId="16" xfId="0" applyNumberFormat="1" applyFont="1" applyFill="1" applyBorder="1" applyAlignment="1" applyProtection="1">
      <alignment horizontal="right" vertical="center"/>
      <protection locked="0"/>
    </xf>
    <xf numFmtId="168" fontId="2" fillId="33" borderId="42" xfId="0" applyNumberFormat="1" applyFont="1" applyFill="1" applyBorder="1" applyAlignment="1" applyProtection="1">
      <alignment horizontal="center" vertical="center"/>
      <protection hidden="1"/>
    </xf>
    <xf numFmtId="168" fontId="2" fillId="33" borderId="16" xfId="0" applyNumberFormat="1" applyFont="1" applyFill="1" applyBorder="1" applyAlignment="1" applyProtection="1">
      <alignment horizontal="center" vertical="center"/>
      <protection hidden="1"/>
    </xf>
    <xf numFmtId="168" fontId="2" fillId="33" borderId="17" xfId="0" applyNumberFormat="1" applyFont="1" applyFill="1" applyBorder="1" applyAlignment="1" applyProtection="1">
      <alignment horizontal="center" vertical="center"/>
      <protection hidden="1"/>
    </xf>
    <xf numFmtId="203" fontId="2" fillId="33" borderId="42" xfId="0" applyNumberFormat="1" applyFont="1" applyFill="1" applyBorder="1" applyAlignment="1" applyProtection="1">
      <alignment horizontal="right" vertical="center"/>
      <protection hidden="1"/>
    </xf>
    <xf numFmtId="203" fontId="2" fillId="33" borderId="16" xfId="0" applyNumberFormat="1" applyFont="1" applyFill="1" applyBorder="1" applyAlignment="1" applyProtection="1">
      <alignment horizontal="right" vertical="center"/>
      <protection hidden="1"/>
    </xf>
    <xf numFmtId="206" fontId="2" fillId="33" borderId="42" xfId="0" applyNumberFormat="1" applyFont="1" applyFill="1" applyBorder="1" applyAlignment="1" applyProtection="1">
      <alignment horizontal="right" vertical="center"/>
      <protection hidden="1"/>
    </xf>
    <xf numFmtId="206" fontId="2" fillId="33" borderId="16" xfId="0" applyNumberFormat="1" applyFont="1" applyFill="1" applyBorder="1" applyAlignment="1" applyProtection="1">
      <alignment horizontal="right" vertical="center"/>
      <protection hidden="1"/>
    </xf>
    <xf numFmtId="203" fontId="2" fillId="36" borderId="42" xfId="0" applyNumberFormat="1" applyFont="1" applyFill="1" applyBorder="1" applyAlignment="1" applyProtection="1">
      <alignment horizontal="right" vertical="center"/>
      <protection locked="0"/>
    </xf>
    <xf numFmtId="203" fontId="2" fillId="36" borderId="16" xfId="0" applyNumberFormat="1" applyFont="1" applyFill="1" applyBorder="1" applyAlignment="1" applyProtection="1">
      <alignment horizontal="right" vertical="center"/>
      <protection locked="0"/>
    </xf>
    <xf numFmtId="0" fontId="88" fillId="37" borderId="72" xfId="48" applyFont="1" applyFill="1" applyBorder="1" applyAlignment="1" applyProtection="1">
      <alignment horizontal="center" vertical="center" wrapText="1"/>
      <protection hidden="1"/>
    </xf>
    <xf numFmtId="0" fontId="88" fillId="37" borderId="73" xfId="48" applyFont="1" applyFill="1" applyBorder="1" applyAlignment="1" applyProtection="1">
      <alignment horizontal="center" vertical="center" wrapText="1"/>
      <protection hidden="1"/>
    </xf>
    <xf numFmtId="0" fontId="65" fillId="37" borderId="72" xfId="48" applyFont="1" applyFill="1" applyBorder="1" applyAlignment="1" applyProtection="1">
      <alignment horizontal="center" vertical="center" wrapText="1"/>
      <protection hidden="1"/>
    </xf>
    <xf numFmtId="0" fontId="65" fillId="37" borderId="46" xfId="48" applyFont="1" applyFill="1" applyBorder="1" applyAlignment="1" applyProtection="1">
      <alignment horizontal="center" vertical="center" wrapText="1"/>
      <protection hidden="1"/>
    </xf>
    <xf numFmtId="0" fontId="65" fillId="37" borderId="101" xfId="48" applyFont="1" applyFill="1" applyBorder="1" applyAlignment="1" applyProtection="1">
      <alignment horizontal="center" vertical="center"/>
      <protection hidden="1"/>
    </xf>
    <xf numFmtId="0" fontId="65" fillId="37" borderId="40" xfId="48" applyFont="1" applyFill="1" applyBorder="1" applyAlignment="1" applyProtection="1">
      <alignment horizontal="center" vertical="center"/>
      <protection hidden="1"/>
    </xf>
    <xf numFmtId="0" fontId="65" fillId="37" borderId="18" xfId="0" applyFont="1" applyFill="1" applyBorder="1" applyAlignment="1" applyProtection="1">
      <alignment horizontal="center" vertical="center"/>
      <protection hidden="1"/>
    </xf>
    <xf numFmtId="0" fontId="65" fillId="37" borderId="31" xfId="0" applyFont="1" applyFill="1" applyBorder="1" applyAlignment="1" applyProtection="1">
      <alignment horizontal="center" vertical="center"/>
      <protection hidden="1"/>
    </xf>
    <xf numFmtId="0" fontId="65" fillId="37" borderId="74" xfId="0" applyFont="1" applyFill="1" applyBorder="1" applyAlignment="1" applyProtection="1">
      <alignment horizontal="center" vertical="center"/>
      <protection hidden="1"/>
    </xf>
    <xf numFmtId="0" fontId="65" fillId="37" borderId="13" xfId="0" applyFont="1" applyFill="1" applyBorder="1" applyAlignment="1" applyProtection="1">
      <alignment horizontal="center" vertical="center"/>
      <protection hidden="1"/>
    </xf>
    <xf numFmtId="209" fontId="2" fillId="33" borderId="42" xfId="0" applyNumberFormat="1" applyFont="1" applyFill="1" applyBorder="1" applyAlignment="1" applyProtection="1">
      <alignment horizontal="center" vertical="center"/>
      <protection hidden="1"/>
    </xf>
    <xf numFmtId="209" fontId="2" fillId="33" borderId="16" xfId="0" applyNumberFormat="1" applyFont="1" applyFill="1" applyBorder="1" applyAlignment="1" applyProtection="1">
      <alignment horizontal="center" vertical="center"/>
      <protection hidden="1"/>
    </xf>
    <xf numFmtId="209" fontId="2" fillId="33" borderId="17" xfId="0" applyNumberFormat="1" applyFont="1" applyFill="1" applyBorder="1" applyAlignment="1" applyProtection="1">
      <alignment horizontal="center" vertical="center"/>
      <protection hidden="1"/>
    </xf>
    <xf numFmtId="213" fontId="120" fillId="0" borderId="0" xfId="0" applyNumberFormat="1" applyFont="1" applyBorder="1" applyAlignment="1" applyProtection="1">
      <alignment horizontal="center" vertical="center"/>
      <protection hidden="1"/>
    </xf>
    <xf numFmtId="0" fontId="125" fillId="0" borderId="42" xfId="0" applyFont="1" applyBorder="1" applyAlignment="1" applyProtection="1">
      <alignment horizontal="center"/>
      <protection hidden="1"/>
    </xf>
    <xf numFmtId="0" fontId="125" fillId="0" borderId="16" xfId="0" applyFont="1" applyBorder="1" applyAlignment="1" applyProtection="1">
      <alignment horizontal="center"/>
      <protection hidden="1"/>
    </xf>
    <xf numFmtId="0" fontId="125" fillId="0" borderId="17" xfId="0" applyFont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left" vertical="center"/>
      <protection hidden="1" locked="0"/>
    </xf>
    <xf numFmtId="0" fontId="43" fillId="36" borderId="15" xfId="0" applyFont="1" applyFill="1" applyBorder="1" applyAlignment="1" applyProtection="1">
      <alignment horizontal="right" vertical="center"/>
      <protection hidden="1"/>
    </xf>
    <xf numFmtId="0" fontId="143" fillId="36" borderId="0" xfId="0" applyFont="1" applyFill="1" applyBorder="1" applyAlignment="1" applyProtection="1">
      <alignment horizontal="right" vertical="center" shrinkToFit="1"/>
      <protection hidden="1"/>
    </xf>
    <xf numFmtId="0" fontId="13" fillId="33" borderId="106" xfId="0" applyFont="1" applyFill="1" applyBorder="1" applyAlignment="1" applyProtection="1">
      <alignment horizontal="center" vertical="center"/>
      <protection hidden="1"/>
    </xf>
    <xf numFmtId="0" fontId="13" fillId="33" borderId="107" xfId="0" applyFont="1" applyFill="1" applyBorder="1" applyAlignment="1" applyProtection="1">
      <alignment horizontal="center" vertical="center"/>
      <protection hidden="1"/>
    </xf>
    <xf numFmtId="207" fontId="2" fillId="0" borderId="108" xfId="0" applyNumberFormat="1" applyFont="1" applyBorder="1" applyAlignment="1" applyProtection="1">
      <alignment horizontal="center" vertical="center"/>
      <protection hidden="1"/>
    </xf>
    <xf numFmtId="207" fontId="2" fillId="0" borderId="109" xfId="0" applyNumberFormat="1" applyFont="1" applyBorder="1" applyAlignment="1" applyProtection="1">
      <alignment horizontal="center" vertical="center"/>
      <protection hidden="1"/>
    </xf>
    <xf numFmtId="215" fontId="128" fillId="36" borderId="0" xfId="0" applyNumberFormat="1" applyFont="1" applyFill="1" applyBorder="1" applyAlignment="1" applyProtection="1" quotePrefix="1">
      <alignment horizontal="right" vertical="center" indent="1" shrinkToFit="1"/>
      <protection hidden="1"/>
    </xf>
    <xf numFmtId="193" fontId="127" fillId="36" borderId="0" xfId="0" applyNumberFormat="1" applyFont="1" applyFill="1" applyBorder="1" applyAlignment="1" applyProtection="1">
      <alignment horizontal="right" indent="1"/>
      <protection hidden="1"/>
    </xf>
    <xf numFmtId="0" fontId="141" fillId="39" borderId="84" xfId="0" applyFont="1" applyFill="1" applyBorder="1" applyAlignment="1" applyProtection="1">
      <alignment horizontal="center" vertical="center" shrinkToFit="1"/>
      <protection hidden="1" locked="0"/>
    </xf>
    <xf numFmtId="212" fontId="116" fillId="36" borderId="0" xfId="0" applyNumberFormat="1" applyFont="1" applyFill="1" applyBorder="1" applyAlignment="1" applyProtection="1">
      <alignment horizontal="center" vertical="center"/>
      <protection hidden="1"/>
    </xf>
    <xf numFmtId="212" fontId="116" fillId="36" borderId="15" xfId="0" applyNumberFormat="1" applyFont="1" applyFill="1" applyBorder="1" applyAlignment="1" applyProtection="1">
      <alignment horizontal="center" vertical="center"/>
      <protection hidden="1"/>
    </xf>
    <xf numFmtId="0" fontId="116" fillId="36" borderId="0" xfId="0" applyFont="1" applyFill="1" applyBorder="1" applyAlignment="1" applyProtection="1">
      <alignment horizontal="right" vertical="center"/>
      <protection hidden="1"/>
    </xf>
    <xf numFmtId="0" fontId="116" fillId="36" borderId="15" xfId="0" applyFont="1" applyFill="1" applyBorder="1" applyAlignment="1" applyProtection="1">
      <alignment horizontal="right" vertical="center"/>
      <protection hidden="1"/>
    </xf>
    <xf numFmtId="231" fontId="2" fillId="36" borderId="0" xfId="0" applyNumberFormat="1" applyFont="1" applyFill="1" applyBorder="1" applyAlignment="1" applyProtection="1">
      <alignment horizontal="left" vertical="center"/>
      <protection hidden="1"/>
    </xf>
    <xf numFmtId="231" fontId="2" fillId="36" borderId="15" xfId="0" applyNumberFormat="1" applyFont="1" applyFill="1" applyBorder="1" applyAlignment="1" applyProtection="1">
      <alignment horizontal="left" vertical="center"/>
      <protection hidden="1"/>
    </xf>
    <xf numFmtId="0" fontId="41" fillId="36" borderId="15" xfId="0" applyFont="1" applyFill="1" applyBorder="1" applyAlignment="1" applyProtection="1">
      <alignment horizontal="left" vertical="center"/>
      <protection hidden="1"/>
    </xf>
    <xf numFmtId="0" fontId="2" fillId="40" borderId="0" xfId="0" applyFont="1" applyFill="1" applyBorder="1" applyAlignment="1" applyProtection="1">
      <alignment horizontal="left"/>
      <protection hidden="1"/>
    </xf>
    <xf numFmtId="0" fontId="2" fillId="39" borderId="110" xfId="0" applyFont="1" applyFill="1" applyBorder="1" applyAlignment="1" applyProtection="1">
      <alignment horizontal="center" vertical="center"/>
      <protection hidden="1"/>
    </xf>
    <xf numFmtId="194" fontId="116" fillId="36" borderId="0" xfId="0" applyNumberFormat="1" applyFont="1" applyFill="1" applyBorder="1" applyAlignment="1" applyProtection="1">
      <alignment horizontal="right" vertical="top" indent="1"/>
      <protection hidden="1"/>
    </xf>
    <xf numFmtId="194" fontId="127" fillId="36" borderId="0" xfId="0" applyNumberFormat="1" applyFont="1" applyFill="1" applyBorder="1" applyAlignment="1" applyProtection="1">
      <alignment horizontal="right" vertical="top" indent="1"/>
      <protection hidden="1"/>
    </xf>
    <xf numFmtId="193" fontId="116" fillId="36" borderId="0" xfId="0" applyNumberFormat="1" applyFont="1" applyFill="1" applyBorder="1" applyAlignment="1" applyProtection="1">
      <alignment horizontal="right" indent="1"/>
      <protection hidden="1"/>
    </xf>
    <xf numFmtId="168" fontId="128" fillId="36" borderId="0" xfId="0" applyNumberFormat="1" applyFont="1" applyFill="1" applyBorder="1" applyAlignment="1" applyProtection="1">
      <alignment horizontal="right" vertical="center"/>
      <protection hidden="1"/>
    </xf>
    <xf numFmtId="193" fontId="127" fillId="36" borderId="111" xfId="0" applyNumberFormat="1" applyFont="1" applyFill="1" applyBorder="1" applyAlignment="1" applyProtection="1">
      <alignment horizontal="right" indent="1"/>
      <protection hidden="1"/>
    </xf>
    <xf numFmtId="194" fontId="127" fillId="36" borderId="112" xfId="0" applyNumberFormat="1" applyFont="1" applyFill="1" applyBorder="1" applyAlignment="1" applyProtection="1">
      <alignment horizontal="right" vertical="top" indent="1"/>
      <protection hidden="1"/>
    </xf>
    <xf numFmtId="193" fontId="116" fillId="36" borderId="113" xfId="0" applyNumberFormat="1" applyFont="1" applyFill="1" applyBorder="1" applyAlignment="1" applyProtection="1">
      <alignment horizontal="right" indent="1"/>
      <protection hidden="1"/>
    </xf>
    <xf numFmtId="194" fontId="116" fillId="36" borderId="114" xfId="0" applyNumberFormat="1" applyFont="1" applyFill="1" applyBorder="1" applyAlignment="1" applyProtection="1">
      <alignment horizontal="right" vertical="top" indent="1"/>
      <protection hidden="1"/>
    </xf>
    <xf numFmtId="168" fontId="128" fillId="36" borderId="115" xfId="0" applyNumberFormat="1" applyFont="1" applyFill="1" applyBorder="1" applyAlignment="1" applyProtection="1">
      <alignment horizontal="right" vertical="center"/>
      <protection hidden="1"/>
    </xf>
    <xf numFmtId="215" fontId="128" fillId="36" borderId="115" xfId="0" applyNumberFormat="1" applyFont="1" applyFill="1" applyBorder="1" applyAlignment="1" applyProtection="1" quotePrefix="1">
      <alignment horizontal="right" vertical="center" indent="1" shrinkToFit="1"/>
      <protection hidden="1"/>
    </xf>
    <xf numFmtId="17" fontId="103" fillId="36" borderId="74" xfId="0" applyNumberFormat="1" applyFont="1" applyFill="1" applyBorder="1" applyAlignment="1" applyProtection="1" quotePrefix="1">
      <alignment horizontal="center" vertical="center"/>
      <protection hidden="1"/>
    </xf>
    <xf numFmtId="17" fontId="103" fillId="36" borderId="40" xfId="0" applyNumberFormat="1" applyFont="1" applyFill="1" applyBorder="1" applyAlignment="1" applyProtection="1" quotePrefix="1">
      <alignment horizontal="center" vertical="center"/>
      <protection hidden="1"/>
    </xf>
    <xf numFmtId="0" fontId="103" fillId="36" borderId="74" xfId="0" applyNumberFormat="1" applyFont="1" applyFill="1" applyBorder="1" applyAlignment="1" applyProtection="1">
      <alignment horizontal="center"/>
      <protection hidden="1"/>
    </xf>
    <xf numFmtId="0" fontId="103" fillId="36" borderId="40" xfId="0" applyNumberFormat="1" applyFont="1" applyFill="1" applyBorder="1" applyAlignment="1" applyProtection="1">
      <alignment horizontal="center"/>
      <protection hidden="1"/>
    </xf>
    <xf numFmtId="17" fontId="103" fillId="36" borderId="76" xfId="0" applyNumberFormat="1" applyFont="1" applyFill="1" applyBorder="1" applyAlignment="1" applyProtection="1" quotePrefix="1">
      <alignment horizontal="center" vertical="center"/>
      <protection hidden="1"/>
    </xf>
    <xf numFmtId="0" fontId="135" fillId="36" borderId="0" xfId="0" applyFont="1" applyFill="1" applyBorder="1" applyAlignment="1" applyProtection="1">
      <alignment horizontal="center" vertical="center"/>
      <protection hidden="1"/>
    </xf>
    <xf numFmtId="0" fontId="103" fillId="36" borderId="76" xfId="0" applyNumberFormat="1" applyFont="1" applyFill="1" applyBorder="1" applyAlignment="1" applyProtection="1">
      <alignment horizontal="center"/>
      <protection hidden="1"/>
    </xf>
    <xf numFmtId="0" fontId="103" fillId="36" borderId="42" xfId="0" applyNumberFormat="1" applyFont="1" applyFill="1" applyBorder="1" applyAlignment="1" applyProtection="1">
      <alignment horizontal="center"/>
      <protection hidden="1"/>
    </xf>
    <xf numFmtId="0" fontId="103" fillId="36" borderId="17" xfId="0" applyNumberFormat="1" applyFont="1" applyFill="1" applyBorder="1" applyAlignment="1" applyProtection="1">
      <alignment horizontal="center"/>
      <protection hidden="1"/>
    </xf>
    <xf numFmtId="0" fontId="144" fillId="36" borderId="0" xfId="0" applyFont="1" applyFill="1" applyAlignment="1" applyProtection="1">
      <alignment horizontal="center"/>
      <protection hidden="1"/>
    </xf>
    <xf numFmtId="0" fontId="135" fillId="36" borderId="13" xfId="0" applyFont="1" applyFill="1" applyBorder="1" applyAlignment="1" applyProtection="1">
      <alignment horizontal="center" vertical="center"/>
      <protection hidden="1"/>
    </xf>
    <xf numFmtId="0" fontId="145" fillId="36" borderId="20" xfId="0" applyFont="1" applyFill="1" applyBorder="1" applyAlignment="1" applyProtection="1">
      <alignment horizontal="center"/>
      <protection hidden="1"/>
    </xf>
    <xf numFmtId="0" fontId="103" fillId="36" borderId="116" xfId="0" applyNumberFormat="1" applyFont="1" applyFill="1" applyBorder="1" applyAlignment="1" applyProtection="1">
      <alignment horizontal="center"/>
      <protection hidden="1"/>
    </xf>
    <xf numFmtId="0" fontId="131" fillId="36" borderId="117" xfId="0" applyFont="1" applyFill="1" applyBorder="1" applyAlignment="1" applyProtection="1">
      <alignment horizontal="center" vertical="center"/>
      <protection hidden="1"/>
    </xf>
    <xf numFmtId="0" fontId="131" fillId="36" borderId="67" xfId="0" applyFont="1" applyFill="1" applyBorder="1" applyAlignment="1" applyProtection="1">
      <alignment horizontal="center" vertical="center"/>
      <protection hidden="1"/>
    </xf>
    <xf numFmtId="223" fontId="130" fillId="36" borderId="0" xfId="0" applyNumberFormat="1" applyFont="1" applyFill="1" applyBorder="1" applyAlignment="1" applyProtection="1">
      <alignment horizontal="center"/>
      <protection hidden="1"/>
    </xf>
    <xf numFmtId="0" fontId="146" fillId="36" borderId="74" xfId="0" applyFont="1" applyFill="1" applyBorder="1" applyAlignment="1" applyProtection="1">
      <alignment horizontal="center"/>
      <protection hidden="1"/>
    </xf>
    <xf numFmtId="0" fontId="146" fillId="36" borderId="75" xfId="0" applyFont="1" applyFill="1" applyBorder="1" applyAlignment="1" applyProtection="1">
      <alignment horizontal="center"/>
      <protection hidden="1"/>
    </xf>
    <xf numFmtId="0" fontId="146" fillId="36" borderId="76" xfId="0" applyFont="1" applyFill="1" applyBorder="1" applyAlignment="1" applyProtection="1">
      <alignment horizontal="center"/>
      <protection hidden="1"/>
    </xf>
    <xf numFmtId="0" fontId="131" fillId="36" borderId="34" xfId="0" applyFont="1" applyFill="1" applyBorder="1" applyAlignment="1" applyProtection="1">
      <alignment horizontal="center"/>
      <protection hidden="1"/>
    </xf>
    <xf numFmtId="0" fontId="131" fillId="36" borderId="35" xfId="0" applyFont="1" applyFill="1" applyBorder="1" applyAlignment="1" applyProtection="1">
      <alignment horizontal="center"/>
      <protection hidden="1"/>
    </xf>
    <xf numFmtId="0" fontId="131" fillId="36" borderId="34" xfId="0" applyFont="1" applyFill="1" applyBorder="1" applyAlignment="1" applyProtection="1">
      <alignment horizontal="center" vertical="center"/>
      <protection hidden="1"/>
    </xf>
    <xf numFmtId="0" fontId="131" fillId="36" borderId="35" xfId="0" applyFont="1" applyFill="1" applyBorder="1" applyAlignment="1" applyProtection="1">
      <alignment horizontal="center" vertical="center"/>
      <protection hidden="1"/>
    </xf>
    <xf numFmtId="0" fontId="131" fillId="36" borderId="64" xfId="0" applyFont="1" applyFill="1" applyBorder="1" applyAlignment="1" applyProtection="1">
      <alignment horizontal="center" vertical="center"/>
      <protection hidden="1"/>
    </xf>
    <xf numFmtId="0" fontId="131" fillId="36" borderId="65" xfId="0" applyFont="1" applyFill="1" applyBorder="1" applyAlignment="1" applyProtection="1">
      <alignment horizontal="center" vertical="center"/>
      <protection hidden="1"/>
    </xf>
    <xf numFmtId="0" fontId="130" fillId="36" borderId="0" xfId="0" applyFont="1" applyFill="1" applyBorder="1" applyAlignment="1" applyProtection="1">
      <alignment horizontal="center"/>
      <protection hidden="1"/>
    </xf>
    <xf numFmtId="0" fontId="130" fillId="36" borderId="13" xfId="0" applyFont="1" applyFill="1" applyBorder="1" applyAlignment="1" applyProtection="1">
      <alignment horizontal="center"/>
      <protection hidden="1"/>
    </xf>
    <xf numFmtId="223" fontId="130" fillId="42" borderId="0" xfId="0" applyNumberFormat="1" applyFont="1" applyFill="1" applyBorder="1" applyAlignment="1" applyProtection="1">
      <alignment horizontal="left"/>
      <protection hidden="1" locked="0"/>
    </xf>
    <xf numFmtId="184" fontId="147" fillId="36" borderId="68" xfId="0" applyNumberFormat="1" applyFont="1" applyFill="1" applyBorder="1" applyAlignment="1" applyProtection="1">
      <alignment horizontal="center" vertical="center"/>
      <protection hidden="1"/>
    </xf>
    <xf numFmtId="184" fontId="147" fillId="36" borderId="41" xfId="0" applyNumberFormat="1" applyFont="1" applyFill="1" applyBorder="1" applyAlignment="1" applyProtection="1">
      <alignment horizontal="center" vertical="center"/>
      <protection hidden="1"/>
    </xf>
    <xf numFmtId="0" fontId="148" fillId="36" borderId="69" xfId="0" applyFont="1" applyFill="1" applyBorder="1" applyAlignment="1" applyProtection="1">
      <alignment horizontal="center" vertical="center" wrapText="1"/>
      <protection hidden="1"/>
    </xf>
    <xf numFmtId="0" fontId="148" fillId="36" borderId="66" xfId="0" applyFont="1" applyFill="1" applyBorder="1" applyAlignment="1" applyProtection="1">
      <alignment horizontal="center" vertical="center"/>
      <protection hidden="1"/>
    </xf>
    <xf numFmtId="1" fontId="146" fillId="36" borderId="41" xfId="0" applyNumberFormat="1" applyFont="1" applyFill="1" applyBorder="1" applyAlignment="1" applyProtection="1">
      <alignment horizontal="center" vertical="center"/>
      <protection hidden="1"/>
    </xf>
    <xf numFmtId="1" fontId="146" fillId="36" borderId="46" xfId="0" applyNumberFormat="1" applyFont="1" applyFill="1" applyBorder="1" applyAlignment="1" applyProtection="1">
      <alignment horizontal="center" vertical="center"/>
      <protection hidden="1"/>
    </xf>
    <xf numFmtId="0" fontId="131" fillId="36" borderId="64" xfId="0" applyFont="1" applyFill="1" applyBorder="1" applyAlignment="1" applyProtection="1">
      <alignment horizontal="center" vertical="top"/>
      <protection hidden="1"/>
    </xf>
    <xf numFmtId="0" fontId="131" fillId="36" borderId="65" xfId="0" applyFont="1" applyFill="1" applyBorder="1" applyAlignment="1" applyProtection="1">
      <alignment horizontal="center" vertical="top"/>
      <protection hidden="1"/>
    </xf>
    <xf numFmtId="0" fontId="0" fillId="10" borderId="34" xfId="0" applyFill="1" applyBorder="1" applyAlignment="1" applyProtection="1">
      <alignment horizontal="left" vertical="center" wrapText="1" indent="1"/>
      <protection hidden="1"/>
    </xf>
    <xf numFmtId="0" fontId="0" fillId="10" borderId="32" xfId="0" applyFill="1" applyBorder="1" applyAlignment="1" applyProtection="1">
      <alignment horizontal="left" vertical="center" wrapText="1" indent="1"/>
      <protection hidden="1"/>
    </xf>
    <xf numFmtId="0" fontId="0" fillId="10" borderId="35" xfId="0" applyFill="1" applyBorder="1" applyAlignment="1" applyProtection="1">
      <alignment horizontal="left" vertical="center" wrapText="1" indent="1"/>
      <protection hidden="1"/>
    </xf>
    <xf numFmtId="0" fontId="0" fillId="10" borderId="36" xfId="0" applyFill="1" applyBorder="1" applyAlignment="1" applyProtection="1">
      <alignment horizontal="left" vertical="center" wrapText="1" indent="1"/>
      <protection hidden="1"/>
    </xf>
    <xf numFmtId="0" fontId="0" fillId="10" borderId="0" xfId="0" applyFill="1" applyBorder="1" applyAlignment="1" applyProtection="1">
      <alignment horizontal="left" vertical="center" wrapText="1" indent="1"/>
      <protection hidden="1"/>
    </xf>
    <xf numFmtId="0" fontId="0" fillId="10" borderId="37" xfId="0" applyFill="1" applyBorder="1" applyAlignment="1" applyProtection="1">
      <alignment horizontal="left" vertical="center" wrapText="1" indent="1"/>
      <protection hidden="1"/>
    </xf>
    <xf numFmtId="0" fontId="0" fillId="10" borderId="38" xfId="0" applyFill="1" applyBorder="1" applyAlignment="1" applyProtection="1">
      <alignment horizontal="left" vertical="center" wrapText="1" indent="1"/>
      <protection hidden="1"/>
    </xf>
    <xf numFmtId="0" fontId="0" fillId="10" borderId="33" xfId="0" applyFill="1" applyBorder="1" applyAlignment="1" applyProtection="1">
      <alignment horizontal="left" vertical="center" wrapText="1" indent="1"/>
      <protection hidden="1"/>
    </xf>
    <xf numFmtId="0" fontId="0" fillId="10" borderId="39" xfId="0" applyFill="1" applyBorder="1" applyAlignment="1" applyProtection="1">
      <alignment horizontal="left" vertical="center" wrapText="1" indent="1"/>
      <protection hidden="1"/>
    </xf>
    <xf numFmtId="0" fontId="103" fillId="10" borderId="42" xfId="0" applyFont="1" applyFill="1" applyBorder="1" applyAlignment="1" applyProtection="1">
      <alignment horizontal="center"/>
      <protection hidden="1"/>
    </xf>
    <xf numFmtId="0" fontId="103" fillId="10" borderId="17" xfId="0" applyFont="1" applyFill="1" applyBorder="1" applyAlignment="1" applyProtection="1">
      <alignment horizontal="center"/>
      <protection hidden="1"/>
    </xf>
    <xf numFmtId="0" fontId="0" fillId="10" borderId="34" xfId="0" applyFill="1" applyBorder="1" applyAlignment="1" applyProtection="1">
      <alignment horizontal="left" vertical="center" wrapText="1"/>
      <protection hidden="1"/>
    </xf>
    <xf numFmtId="0" fontId="0" fillId="10" borderId="35" xfId="0" applyFill="1" applyBorder="1" applyAlignment="1" applyProtection="1">
      <alignment horizontal="left" vertical="center" wrapText="1"/>
      <protection hidden="1"/>
    </xf>
    <xf numFmtId="0" fontId="0" fillId="10" borderId="36" xfId="0" applyFill="1" applyBorder="1" applyAlignment="1" applyProtection="1">
      <alignment horizontal="left" vertical="center" wrapText="1"/>
      <protection hidden="1"/>
    </xf>
    <xf numFmtId="0" fontId="0" fillId="10" borderId="37" xfId="0" applyFill="1" applyBorder="1" applyAlignment="1" applyProtection="1">
      <alignment horizontal="left" vertical="center" wrapText="1"/>
      <protection hidden="1"/>
    </xf>
    <xf numFmtId="0" fontId="0" fillId="10" borderId="38" xfId="0" applyFill="1" applyBorder="1" applyAlignment="1" applyProtection="1">
      <alignment horizontal="left" vertical="center" wrapText="1"/>
      <protection hidden="1"/>
    </xf>
    <xf numFmtId="0" fontId="0" fillId="10" borderId="39" xfId="0" applyFill="1" applyBorder="1" applyAlignment="1" applyProtection="1">
      <alignment horizontal="left" vertical="center" wrapText="1"/>
      <protection hidden="1"/>
    </xf>
    <xf numFmtId="0" fontId="0" fillId="10" borderId="14" xfId="0" applyFill="1" applyBorder="1" applyAlignment="1" applyProtection="1">
      <alignment horizontal="left" vertical="center" wrapText="1"/>
      <protection hidden="1"/>
    </xf>
    <xf numFmtId="0" fontId="149" fillId="43" borderId="0" xfId="0" applyFont="1" applyFill="1" applyAlignment="1" applyProtection="1">
      <alignment horizontal="center" vertical="center"/>
      <protection hidden="1"/>
    </xf>
    <xf numFmtId="0" fontId="132" fillId="36" borderId="0" xfId="0" applyFont="1" applyFill="1" applyAlignment="1" applyProtection="1">
      <alignment horizontal="center"/>
      <protection hidden="1"/>
    </xf>
    <xf numFmtId="0" fontId="149" fillId="36" borderId="0" xfId="0" applyFont="1" applyFill="1" applyAlignment="1" applyProtection="1">
      <alignment horizontal="center"/>
      <protection hidden="1"/>
    </xf>
    <xf numFmtId="0" fontId="150" fillId="36" borderId="0" xfId="0" applyFont="1" applyFill="1" applyAlignment="1" applyProtection="1">
      <alignment horizontal="center"/>
      <protection hidden="1"/>
    </xf>
    <xf numFmtId="0" fontId="103" fillId="36" borderId="42" xfId="0" applyFont="1" applyFill="1" applyBorder="1" applyAlignment="1" applyProtection="1">
      <alignment horizontal="center"/>
      <protection hidden="1"/>
    </xf>
    <xf numFmtId="0" fontId="103" fillId="36" borderId="17" xfId="0" applyFont="1" applyFill="1" applyBorder="1" applyAlignment="1" applyProtection="1">
      <alignment horizontal="center"/>
      <protection hidden="1"/>
    </xf>
    <xf numFmtId="2" fontId="135" fillId="36" borderId="42" xfId="0" applyNumberFormat="1" applyFont="1" applyFill="1" applyBorder="1" applyAlignment="1" applyProtection="1">
      <alignment horizontal="center"/>
      <protection hidden="1"/>
    </xf>
    <xf numFmtId="2" fontId="135" fillId="36" borderId="17" xfId="0" applyNumberFormat="1" applyFont="1" applyFill="1" applyBorder="1" applyAlignment="1" applyProtection="1">
      <alignment horizontal="center"/>
      <protection hidden="1"/>
    </xf>
    <xf numFmtId="2" fontId="135" fillId="36" borderId="14" xfId="0" applyNumberFormat="1" applyFont="1" applyFill="1" applyBorder="1" applyAlignment="1" applyProtection="1">
      <alignment horizontal="center"/>
      <protection hidden="1"/>
    </xf>
    <xf numFmtId="0" fontId="103" fillId="36" borderId="14" xfId="0" applyFont="1" applyFill="1" applyBorder="1" applyAlignment="1" applyProtection="1">
      <alignment horizontal="left"/>
      <protection hidden="1"/>
    </xf>
    <xf numFmtId="220" fontId="134" fillId="36" borderId="42" xfId="0" applyNumberFormat="1" applyFont="1" applyFill="1" applyBorder="1" applyAlignment="1" applyProtection="1">
      <alignment horizontal="center"/>
      <protection hidden="1"/>
    </xf>
    <xf numFmtId="220" fontId="134" fillId="36" borderId="17" xfId="0" applyNumberFormat="1" applyFont="1" applyFill="1" applyBorder="1" applyAlignment="1" applyProtection="1">
      <alignment horizontal="center"/>
      <protection hidden="1"/>
    </xf>
    <xf numFmtId="0" fontId="150" fillId="36" borderId="38" xfId="0" applyFont="1" applyFill="1" applyBorder="1" applyAlignment="1" applyProtection="1">
      <alignment horizontal="center"/>
      <protection hidden="1"/>
    </xf>
    <xf numFmtId="0" fontId="150" fillId="36" borderId="33" xfId="0" applyFont="1" applyFill="1" applyBorder="1" applyAlignment="1" applyProtection="1">
      <alignment horizontal="center"/>
      <protection hidden="1"/>
    </xf>
    <xf numFmtId="0" fontId="150" fillId="36" borderId="39" xfId="0" applyFont="1" applyFill="1" applyBorder="1" applyAlignment="1" applyProtection="1">
      <alignment horizontal="center"/>
      <protection hidden="1"/>
    </xf>
    <xf numFmtId="0" fontId="115" fillId="36" borderId="33" xfId="0" applyFont="1" applyFill="1" applyBorder="1" applyAlignment="1" applyProtection="1">
      <alignment horizontal="center"/>
      <protection hidden="1"/>
    </xf>
    <xf numFmtId="0" fontId="103" fillId="36" borderId="14" xfId="0" applyFont="1" applyFill="1" applyBorder="1" applyAlignment="1" applyProtection="1">
      <alignment horizontal="center"/>
      <protection hidden="1"/>
    </xf>
    <xf numFmtId="0" fontId="151" fillId="36" borderId="14" xfId="0" applyFont="1" applyFill="1" applyBorder="1" applyAlignment="1" applyProtection="1">
      <alignment horizontal="center" vertical="center" textRotation="90"/>
      <protection hidden="1"/>
    </xf>
    <xf numFmtId="0" fontId="0" fillId="36" borderId="14" xfId="0" applyFont="1" applyFill="1" applyBorder="1" applyAlignment="1" applyProtection="1">
      <alignment horizontal="left"/>
      <protection hidden="1"/>
    </xf>
    <xf numFmtId="0" fontId="115" fillId="36" borderId="69" xfId="0" applyFont="1" applyFill="1" applyBorder="1" applyAlignment="1" applyProtection="1">
      <alignment horizontal="center"/>
      <protection hidden="1"/>
    </xf>
    <xf numFmtId="0" fontId="0" fillId="36" borderId="34" xfId="0" applyFill="1" applyBorder="1" applyAlignment="1" applyProtection="1">
      <alignment horizontal="center"/>
      <protection hidden="1"/>
    </xf>
    <xf numFmtId="0" fontId="0" fillId="36" borderId="32" xfId="0" applyFill="1" applyBorder="1" applyAlignment="1" applyProtection="1">
      <alignment horizontal="center"/>
      <protection hidden="1"/>
    </xf>
    <xf numFmtId="0" fontId="0" fillId="36" borderId="35" xfId="0" applyFill="1" applyBorder="1" applyAlignment="1" applyProtection="1">
      <alignment horizontal="center"/>
      <protection hidden="1"/>
    </xf>
    <xf numFmtId="0" fontId="0" fillId="36" borderId="38" xfId="0" applyFill="1" applyBorder="1" applyAlignment="1" applyProtection="1">
      <alignment horizontal="center"/>
      <protection hidden="1"/>
    </xf>
    <xf numFmtId="0" fontId="0" fillId="36" borderId="33" xfId="0" applyFill="1" applyBorder="1" applyAlignment="1" applyProtection="1">
      <alignment horizontal="center"/>
      <protection hidden="1"/>
    </xf>
    <xf numFmtId="0" fontId="0" fillId="36" borderId="39" xfId="0" applyFill="1" applyBorder="1" applyAlignment="1" applyProtection="1">
      <alignment horizontal="center"/>
      <protection hidden="1"/>
    </xf>
    <xf numFmtId="0" fontId="115" fillId="36" borderId="70" xfId="0" applyFont="1" applyFill="1" applyBorder="1" applyAlignment="1" applyProtection="1">
      <alignment horizontal="center"/>
      <protection hidden="1"/>
    </xf>
    <xf numFmtId="0" fontId="149" fillId="36" borderId="0" xfId="0" applyFont="1" applyFill="1" applyBorder="1" applyAlignment="1" applyProtection="1">
      <alignment horizontal="center"/>
      <protection hidden="1"/>
    </xf>
    <xf numFmtId="0" fontId="135" fillId="36" borderId="0" xfId="0" applyFont="1" applyFill="1" applyAlignment="1" applyProtection="1">
      <alignment horizontal="center"/>
      <protection hidden="1"/>
    </xf>
    <xf numFmtId="0" fontId="135" fillId="36" borderId="37" xfId="0" applyFont="1" applyFill="1" applyBorder="1" applyAlignment="1" applyProtection="1">
      <alignment horizontal="center"/>
      <protection hidden="1"/>
    </xf>
    <xf numFmtId="0" fontId="149" fillId="36" borderId="34" xfId="0" applyFont="1" applyFill="1" applyBorder="1" applyAlignment="1" applyProtection="1">
      <alignment horizontal="center"/>
      <protection hidden="1"/>
    </xf>
    <xf numFmtId="0" fontId="149" fillId="36" borderId="32" xfId="0" applyFont="1" applyFill="1" applyBorder="1" applyAlignment="1" applyProtection="1">
      <alignment horizontal="center"/>
      <protection hidden="1"/>
    </xf>
    <xf numFmtId="0" fontId="149" fillId="36" borderId="35" xfId="0" applyFont="1" applyFill="1" applyBorder="1" applyAlignment="1" applyProtection="1">
      <alignment horizontal="center"/>
      <protection hidden="1"/>
    </xf>
    <xf numFmtId="0" fontId="150" fillId="36" borderId="36" xfId="0" applyFont="1" applyFill="1" applyBorder="1" applyAlignment="1" applyProtection="1">
      <alignment horizontal="center"/>
      <protection hidden="1"/>
    </xf>
    <xf numFmtId="0" fontId="150" fillId="36" borderId="0" xfId="0" applyFont="1" applyFill="1" applyBorder="1" applyAlignment="1" applyProtection="1">
      <alignment horizontal="center"/>
      <protection hidden="1"/>
    </xf>
    <xf numFmtId="0" fontId="150" fillId="36" borderId="37" xfId="0" applyFont="1" applyFill="1" applyBorder="1" applyAlignment="1" applyProtection="1">
      <alignment horizontal="center"/>
      <protection hidden="1"/>
    </xf>
    <xf numFmtId="0" fontId="134" fillId="36" borderId="0" xfId="0" applyFont="1" applyFill="1" applyAlignment="1" applyProtection="1">
      <alignment horizontal="center"/>
      <protection hidden="1"/>
    </xf>
    <xf numFmtId="0" fontId="0" fillId="10" borderId="34" xfId="0" applyFill="1" applyBorder="1" applyAlignment="1" applyProtection="1">
      <alignment horizontal="center" vertical="center" wrapText="1"/>
      <protection hidden="1"/>
    </xf>
    <xf numFmtId="0" fontId="0" fillId="10" borderId="35" xfId="0" applyFill="1" applyBorder="1" applyAlignment="1" applyProtection="1">
      <alignment horizontal="center" vertical="center" wrapText="1"/>
      <protection hidden="1"/>
    </xf>
    <xf numFmtId="0" fontId="0" fillId="10" borderId="36" xfId="0" applyFill="1" applyBorder="1" applyAlignment="1" applyProtection="1">
      <alignment horizontal="center" vertical="center" wrapText="1"/>
      <protection hidden="1"/>
    </xf>
    <xf numFmtId="0" fontId="0" fillId="10" borderId="37" xfId="0" applyFill="1" applyBorder="1" applyAlignment="1" applyProtection="1">
      <alignment horizontal="center" vertical="center" wrapText="1"/>
      <protection hidden="1"/>
    </xf>
    <xf numFmtId="0" fontId="0" fillId="10" borderId="38" xfId="0" applyFill="1" applyBorder="1" applyAlignment="1" applyProtection="1">
      <alignment horizontal="center" vertical="center" wrapText="1"/>
      <protection hidden="1"/>
    </xf>
    <xf numFmtId="0" fontId="0" fillId="10" borderId="39" xfId="0" applyFill="1" applyBorder="1" applyAlignment="1" applyProtection="1">
      <alignment horizontal="center" vertical="center" wrapText="1"/>
      <protection hidden="1"/>
    </xf>
    <xf numFmtId="0" fontId="103" fillId="36" borderId="72" xfId="0" applyFont="1" applyFill="1" applyBorder="1" applyAlignment="1" applyProtection="1">
      <alignment horizontal="center" vertical="center" textRotation="255"/>
      <protection hidden="1"/>
    </xf>
    <xf numFmtId="0" fontId="103" fillId="36" borderId="41" xfId="0" applyFont="1" applyFill="1" applyBorder="1" applyAlignment="1" applyProtection="1">
      <alignment horizontal="center" vertical="center" textRotation="255"/>
      <protection hidden="1"/>
    </xf>
    <xf numFmtId="0" fontId="103" fillId="36" borderId="46" xfId="0" applyFont="1" applyFill="1" applyBorder="1" applyAlignment="1" applyProtection="1">
      <alignment horizontal="center" vertical="center" textRotation="255"/>
      <protection hidden="1"/>
    </xf>
    <xf numFmtId="0" fontId="103" fillId="36" borderId="0" xfId="0" applyFont="1" applyFill="1" applyAlignment="1" applyProtection="1">
      <alignment horizontal="center"/>
      <protection hidden="1"/>
    </xf>
    <xf numFmtId="0" fontId="0" fillId="36" borderId="0" xfId="0" applyFill="1" applyAlignment="1" applyProtection="1">
      <alignment horizontal="center"/>
      <protection hidden="1"/>
    </xf>
    <xf numFmtId="0" fontId="103" fillId="36" borderId="101" xfId="0" applyFont="1" applyFill="1" applyBorder="1" applyAlignment="1" applyProtection="1">
      <alignment horizontal="center"/>
      <protection hidden="1"/>
    </xf>
    <xf numFmtId="0" fontId="103" fillId="36" borderId="40" xfId="0" applyFont="1" applyFill="1" applyBorder="1" applyAlignment="1" applyProtection="1">
      <alignment horizontal="center"/>
      <protection hidden="1"/>
    </xf>
    <xf numFmtId="220" fontId="103" fillId="36" borderId="38" xfId="0" applyNumberFormat="1" applyFont="1" applyFill="1" applyBorder="1" applyAlignment="1" applyProtection="1">
      <alignment horizontal="center"/>
      <protection hidden="1"/>
    </xf>
    <xf numFmtId="220" fontId="103" fillId="36" borderId="39" xfId="0" applyNumberFormat="1" applyFont="1" applyFill="1" applyBorder="1" applyAlignment="1" applyProtection="1">
      <alignment horizontal="center"/>
      <protection hidden="1"/>
    </xf>
    <xf numFmtId="220" fontId="103" fillId="36" borderId="34" xfId="0" applyNumberFormat="1" applyFont="1" applyFill="1" applyBorder="1" applyAlignment="1" applyProtection="1">
      <alignment horizontal="center"/>
      <protection hidden="1"/>
    </xf>
    <xf numFmtId="220" fontId="103" fillId="36" borderId="35" xfId="0" applyNumberFormat="1" applyFont="1" applyFill="1" applyBorder="1" applyAlignment="1" applyProtection="1">
      <alignment horizontal="center"/>
      <protection hidden="1"/>
    </xf>
    <xf numFmtId="220" fontId="103" fillId="36" borderId="36" xfId="0" applyNumberFormat="1" applyFont="1" applyFill="1" applyBorder="1" applyAlignment="1" applyProtection="1">
      <alignment horizontal="center"/>
      <protection hidden="1"/>
    </xf>
    <xf numFmtId="220" fontId="103" fillId="36" borderId="37" xfId="0" applyNumberFormat="1" applyFont="1" applyFill="1" applyBorder="1" applyAlignment="1" applyProtection="1">
      <alignment horizontal="center"/>
      <protection hidden="1"/>
    </xf>
    <xf numFmtId="0" fontId="149" fillId="36" borderId="33" xfId="0" applyFont="1" applyFill="1" applyBorder="1" applyAlignment="1" applyProtection="1">
      <alignment horizontal="center"/>
      <protection hidden="1"/>
    </xf>
    <xf numFmtId="0" fontId="134" fillId="36" borderId="0" xfId="0" applyFont="1" applyFill="1" applyAlignment="1" applyProtection="1">
      <alignment horizontal="center" vertical="center"/>
      <protection hidden="1"/>
    </xf>
    <xf numFmtId="0" fontId="134" fillId="36" borderId="33" xfId="0" applyFont="1" applyFill="1" applyBorder="1" applyAlignment="1" applyProtection="1">
      <alignment horizontal="center" vertical="center"/>
      <protection hidden="1"/>
    </xf>
    <xf numFmtId="0" fontId="133" fillId="36" borderId="14" xfId="0" applyFont="1" applyFill="1" applyBorder="1" applyAlignment="1" applyProtection="1">
      <alignment horizontal="center" wrapText="1"/>
      <protection hidden="1"/>
    </xf>
    <xf numFmtId="0" fontId="103" fillId="36" borderId="36" xfId="0" applyFont="1" applyFill="1" applyBorder="1" applyAlignment="1" applyProtection="1">
      <alignment horizontal="center"/>
      <protection hidden="1"/>
    </xf>
    <xf numFmtId="0" fontId="103" fillId="36" borderId="37" xfId="0" applyFont="1" applyFill="1" applyBorder="1" applyAlignment="1" applyProtection="1">
      <alignment horizontal="center"/>
      <protection hidden="1"/>
    </xf>
    <xf numFmtId="0" fontId="133" fillId="36" borderId="34" xfId="0" applyFont="1" applyFill="1" applyBorder="1" applyAlignment="1" applyProtection="1">
      <alignment horizontal="center" vertical="center" wrapText="1"/>
      <protection hidden="1"/>
    </xf>
    <xf numFmtId="0" fontId="133" fillId="36" borderId="35" xfId="0" applyFont="1" applyFill="1" applyBorder="1" applyAlignment="1" applyProtection="1">
      <alignment horizontal="center" vertical="center" wrapText="1"/>
      <protection hidden="1"/>
    </xf>
    <xf numFmtId="0" fontId="133" fillId="36" borderId="36" xfId="0" applyFont="1" applyFill="1" applyBorder="1" applyAlignment="1" applyProtection="1">
      <alignment horizontal="center" vertical="center" wrapText="1"/>
      <protection hidden="1"/>
    </xf>
    <xf numFmtId="0" fontId="133" fillId="36" borderId="37" xfId="0" applyFont="1" applyFill="1" applyBorder="1" applyAlignment="1" applyProtection="1">
      <alignment horizontal="center" vertical="center" wrapText="1"/>
      <protection hidden="1"/>
    </xf>
    <xf numFmtId="0" fontId="133" fillId="36" borderId="38" xfId="0" applyFont="1" applyFill="1" applyBorder="1" applyAlignment="1" applyProtection="1">
      <alignment horizontal="center" vertical="center" wrapText="1"/>
      <protection hidden="1"/>
    </xf>
    <xf numFmtId="0" fontId="133" fillId="36" borderId="39" xfId="0" applyFont="1" applyFill="1" applyBorder="1" applyAlignment="1" applyProtection="1">
      <alignment horizontal="center" vertical="center" wrapText="1"/>
      <protection hidden="1"/>
    </xf>
    <xf numFmtId="0" fontId="103" fillId="36" borderId="34" xfId="0" applyFont="1" applyFill="1" applyBorder="1" applyAlignment="1" applyProtection="1">
      <alignment horizontal="center"/>
      <protection hidden="1"/>
    </xf>
    <xf numFmtId="0" fontId="103" fillId="36" borderId="35" xfId="0" applyFont="1" applyFill="1" applyBorder="1" applyAlignment="1" applyProtection="1">
      <alignment horizontal="center"/>
      <protection hidden="1"/>
    </xf>
    <xf numFmtId="0" fontId="103" fillId="36" borderId="38" xfId="0" applyFont="1" applyFill="1" applyBorder="1" applyAlignment="1" applyProtection="1">
      <alignment horizontal="center"/>
      <protection hidden="1"/>
    </xf>
    <xf numFmtId="0" fontId="103" fillId="36" borderId="39" xfId="0" applyFont="1" applyFill="1" applyBorder="1" applyAlignment="1" applyProtection="1">
      <alignment horizontal="center"/>
      <protection hidden="1"/>
    </xf>
    <xf numFmtId="0" fontId="135" fillId="36" borderId="14" xfId="0" applyFont="1" applyFill="1" applyBorder="1" applyAlignment="1" applyProtection="1">
      <alignment horizontal="center" vertical="center"/>
      <protection hidden="1"/>
    </xf>
    <xf numFmtId="0" fontId="133" fillId="36" borderId="34" xfId="0" applyFont="1" applyFill="1" applyBorder="1" applyAlignment="1" applyProtection="1">
      <alignment horizontal="center" wrapText="1"/>
      <protection hidden="1"/>
    </xf>
    <xf numFmtId="0" fontId="133" fillId="36" borderId="35" xfId="0" applyFont="1" applyFill="1" applyBorder="1" applyAlignment="1" applyProtection="1">
      <alignment horizontal="center" wrapText="1"/>
      <protection hidden="1"/>
    </xf>
    <xf numFmtId="0" fontId="133" fillId="36" borderId="38" xfId="0" applyFont="1" applyFill="1" applyBorder="1" applyAlignment="1" applyProtection="1">
      <alignment horizontal="center" wrapText="1"/>
      <protection hidden="1"/>
    </xf>
    <xf numFmtId="0" fontId="133" fillId="36" borderId="39" xfId="0" applyFont="1" applyFill="1" applyBorder="1" applyAlignment="1" applyProtection="1">
      <alignment horizontal="center" wrapText="1"/>
      <protection hidden="1"/>
    </xf>
    <xf numFmtId="0" fontId="103" fillId="36" borderId="16" xfId="0" applyFont="1" applyFill="1" applyBorder="1" applyAlignment="1" applyProtection="1">
      <alignment horizontal="center"/>
      <protection hidden="1"/>
    </xf>
    <xf numFmtId="0" fontId="149" fillId="36" borderId="0" xfId="0" applyFont="1" applyFill="1" applyAlignment="1" applyProtection="1">
      <alignment horizontal="center" vertical="center"/>
      <protection hidden="1"/>
    </xf>
    <xf numFmtId="220" fontId="103" fillId="36" borderId="0" xfId="0" applyNumberFormat="1" applyFont="1" applyFill="1" applyBorder="1" applyAlignment="1" applyProtection="1">
      <alignment horizontal="center"/>
      <protection hidden="1"/>
    </xf>
    <xf numFmtId="220" fontId="103" fillId="36" borderId="32" xfId="0" applyNumberFormat="1" applyFont="1" applyFill="1" applyBorder="1" applyAlignment="1" applyProtection="1">
      <alignment horizontal="center"/>
      <protection hidden="1"/>
    </xf>
    <xf numFmtId="220" fontId="103" fillId="36" borderId="33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GHA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  <cellStyle name="Обычный_Table11" xfId="62"/>
  </cellStyles>
  <dxfs count="25">
    <dxf>
      <font>
        <b/>
        <i val="0"/>
        <color rgb="FF9C0006"/>
      </font>
      <fill>
        <patternFill patternType="solid">
          <fgColor indexed="65"/>
          <bgColor theme="0" tint="-0.1499900072813034"/>
        </patternFill>
      </fill>
    </dxf>
    <dxf>
      <font>
        <b/>
        <i val="0"/>
        <color rgb="FF9C0006"/>
      </font>
      <fill>
        <patternFill patternType="solid">
          <fgColor indexed="65"/>
          <bgColor theme="0" tint="-0.1499900072813034"/>
        </patternFill>
      </fill>
    </dxf>
    <dxf>
      <font>
        <color theme="0"/>
      </font>
      <fill>
        <patternFill>
          <fgColor indexed="64"/>
          <bgColor indexed="65"/>
        </patternFill>
      </fill>
    </dxf>
    <dxf>
      <font>
        <b/>
        <i val="0"/>
        <color rgb="FF9C0006"/>
      </font>
      <fill>
        <patternFill patternType="solid">
          <fgColor indexed="65"/>
          <bgColor theme="0" tint="-0.1499900072813034"/>
        </patternFill>
      </fill>
    </dxf>
    <dxf>
      <font>
        <b/>
        <i val="0"/>
        <color rgb="FF9C0006"/>
      </font>
      <fill>
        <patternFill patternType="solid">
          <fgColor indexed="65"/>
          <bgColor theme="0" tint="-0.1499900072813034"/>
        </patternFill>
      </fill>
    </dxf>
    <dxf>
      <font>
        <color theme="0" tint="-0.149959996342659"/>
      </font>
    </dxf>
    <dxf>
      <font>
        <color theme="0"/>
      </font>
    </dxf>
    <dxf>
      <font>
        <color theme="0" tint="-0.1499900072813034"/>
      </font>
      <fill>
        <patternFill patternType="solid">
          <fgColor indexed="65"/>
          <bgColor theme="0" tint="-0.1499900072813034"/>
        </patternFill>
      </fill>
    </dxf>
    <dxf>
      <font>
        <color theme="0" tint="-0.1499900072813034"/>
      </font>
      <fill>
        <patternFill patternType="solid">
          <fgColor indexed="65"/>
          <bgColor theme="0" tint="-0.1499900072813034"/>
        </patternFill>
      </fill>
    </dxf>
    <dxf>
      <font>
        <color theme="0" tint="-0.1499900072813034"/>
      </font>
      <fill>
        <patternFill patternType="solid">
          <fgColor indexed="65"/>
          <bgColor theme="0" tint="-0.1499900072813034"/>
        </patternFill>
      </fill>
    </dxf>
    <dxf>
      <font>
        <color theme="0" tint="-0.1499900072813034"/>
      </font>
      <fill>
        <patternFill patternType="solid">
          <fgColor indexed="65"/>
          <bgColor theme="0" tint="-0.1499900072813034"/>
        </patternFill>
      </fill>
    </dxf>
    <dxf>
      <font>
        <color theme="0" tint="-0.1499900072813034"/>
      </font>
      <fill>
        <patternFill patternType="solid">
          <fgColor indexed="65"/>
          <bgColor theme="0" tint="-0.1499900072813034"/>
        </patternFill>
      </fill>
    </dxf>
    <dxf>
      <font>
        <b/>
        <i val="0"/>
        <color rgb="FF9C0006"/>
      </font>
      <fill>
        <patternFill patternType="solid">
          <fgColor indexed="65"/>
          <bgColor theme="0" tint="-0.1499900072813034"/>
        </patternFill>
      </fill>
    </dxf>
    <dxf>
      <font>
        <b/>
        <i val="0"/>
        <color rgb="FF9C0006"/>
      </font>
      <fill>
        <patternFill patternType="solid">
          <fgColor indexed="65"/>
          <bgColor theme="0" tint="-0.1499900072813034"/>
        </patternFill>
      </fill>
    </dxf>
    <dxf>
      <font>
        <b/>
        <i val="0"/>
        <color rgb="FF9C0006"/>
      </font>
      <fill>
        <patternFill patternType="solid">
          <fgColor indexed="65"/>
          <bgColor theme="0" tint="-0.1499900072813034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b/>
        <i val="0"/>
        <color rgb="FF9C0006"/>
      </font>
      <fill>
        <patternFill patternType="solid">
          <fgColor indexed="65"/>
          <bgColor theme="0" tint="-0.1499900072813034"/>
        </patternFill>
      </fill>
    </dxf>
    <dxf>
      <font>
        <b/>
        <i val="0"/>
        <color rgb="FF9C0006"/>
      </font>
      <fill>
        <patternFill patternType="solid">
          <fgColor indexed="65"/>
          <bgColor theme="0" tint="-0.1499900072813034"/>
        </patternFill>
      </fill>
    </dxf>
    <dxf>
      <font>
        <b/>
        <i val="0"/>
        <color rgb="FF9C0006"/>
      </font>
      <fill>
        <patternFill patternType="solid">
          <fgColor indexed="65"/>
          <bgColor theme="0" tint="-0.1499900072813034"/>
        </patternFill>
      </fill>
      <border/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  <dxf>
      <font>
        <color theme="0" tint="-0.1499900072813034"/>
      </font>
      <fill>
        <patternFill patternType="solid">
          <fgColor indexed="65"/>
          <bgColor theme="0" tint="-0.1499900072813034"/>
        </patternFill>
      </fill>
      <border/>
    </dxf>
    <dxf>
      <font>
        <color theme="0" tint="-0.149959996342659"/>
      </font>
      <border/>
    </dxf>
    <dxf>
      <font>
        <color theme="0"/>
      </font>
      <fill>
        <patternFill>
          <fgColor indexed="64"/>
          <bgColor indexed="6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"/>
          <c:w val="0.652"/>
          <c:h val="0.988"/>
        </c:manualLayout>
      </c:layout>
      <c:scatterChart>
        <c:scatterStyle val="lineMarker"/>
        <c:varyColors val="0"/>
        <c:ser>
          <c:idx val="3"/>
          <c:order val="0"/>
          <c:tx>
            <c:strRef>
              <c:f>'Calculation Sheet'!$BF$51</c:f>
              <c:strCache>
                <c:ptCount val="1"/>
                <c:pt idx="0">
                  <c:v>  LoP 1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 Sheet'!$BB$52:$BB$53</c:f>
              <c:numCache>
                <c:ptCount val="2"/>
                <c:pt idx="0">
                  <c:v>3.5</c:v>
                </c:pt>
                <c:pt idx="1">
                  <c:v>-3.5</c:v>
                </c:pt>
              </c:numCache>
            </c:numRef>
          </c:xVal>
          <c:yVal>
            <c:numRef>
              <c:f>'Calculation Sheet'!$BF$52:$BF$53</c:f>
              <c:numCache>
                <c:ptCount val="2"/>
                <c:pt idx="0">
                  <c:v>2.951504348760908E+19</c:v>
                </c:pt>
                <c:pt idx="1">
                  <c:v>2.9629315353552417E+19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'Calculation Sheet'!$BC$51</c:f>
              <c:strCache>
                <c:ptCount val="1"/>
                <c:pt idx="0">
                  <c:v>Az 1</c:v>
                </c:pt>
              </c:strCache>
            </c:strRef>
          </c:tx>
          <c:spPr>
            <a:ln w="12700">
              <a:solidFill>
                <a:srgbClr val="0000D4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 Sheet'!$BB$52:$BB$53</c:f>
              <c:numCache>
                <c:ptCount val="2"/>
                <c:pt idx="0">
                  <c:v>3.5</c:v>
                </c:pt>
                <c:pt idx="1">
                  <c:v>-3.5</c:v>
                </c:pt>
              </c:numCache>
            </c:numRef>
          </c:xVal>
          <c:yVal>
            <c:numRef>
              <c:f>'Calculation Sheet'!$BC$52:$BC$53</c:f>
              <c:numCache>
                <c:ptCount val="2"/>
                <c:pt idx="0">
                  <c:v>4.28801959218017E-16</c:v>
                </c:pt>
                <c:pt idx="1">
                  <c:v>-4.28801959218017E-16</c:v>
                </c:pt>
              </c:numCache>
            </c:numRef>
          </c:yVal>
          <c:smooth val="0"/>
        </c:ser>
        <c:ser>
          <c:idx val="9"/>
          <c:order val="2"/>
          <c:tx>
            <c:strRef>
              <c:f>'Calculation Sheet'!$BD$57:$BE$57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'Calculation Sheet'!$BD$56</c:f>
              <c:numCache>
                <c:ptCount val="1"/>
                <c:pt idx="0">
                  <c:v>-1.0033333333333334</c:v>
                </c:pt>
              </c:numCache>
            </c:numRef>
          </c:xVal>
          <c:yVal>
            <c:numRef>
              <c:f>'Calculation Sheet'!$BE$56</c:f>
              <c:numCache>
                <c:ptCount val="1"/>
                <c:pt idx="0">
                  <c:v>-1.2292322830916487E-16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'Calculation Sheet'!$BD$51</c:f>
              <c:strCache>
                <c:ptCount val="1"/>
                <c:pt idx="0">
                  <c:v>Az 2</c:v>
                </c:pt>
              </c:strCache>
            </c:strRef>
          </c:tx>
          <c:spPr>
            <a:ln w="127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 Sheet'!$BB$52:$BB$53</c:f>
              <c:numCache>
                <c:ptCount val="2"/>
                <c:pt idx="0">
                  <c:v>3.5</c:v>
                </c:pt>
                <c:pt idx="1">
                  <c:v>-3.5</c:v>
                </c:pt>
              </c:numCache>
            </c:numRef>
          </c:xVal>
          <c:yVal>
            <c:numRef>
              <c:f>'Calculation Sheet'!$BD$52:$BD$53</c:f>
              <c:numCache>
                <c:ptCount val="2"/>
                <c:pt idx="0">
                  <c:v>4.28801959218017E-16</c:v>
                </c:pt>
                <c:pt idx="1">
                  <c:v>-4.28801959218017E-16</c:v>
                </c:pt>
              </c:numCache>
            </c:numRef>
          </c:yVal>
          <c:smooth val="0"/>
        </c:ser>
        <c:ser>
          <c:idx val="8"/>
          <c:order val="4"/>
          <c:tx>
            <c:strRef>
              <c:f>'Calculation Sheet'!$BB$57:$BC$57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0000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D4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'Calculation Sheet'!$BB$56</c:f>
              <c:numCache>
                <c:ptCount val="1"/>
                <c:pt idx="0">
                  <c:v>-1.0033333333333334</c:v>
                </c:pt>
              </c:numCache>
            </c:numRef>
          </c:xVal>
          <c:yVal>
            <c:numRef>
              <c:f>'Calculation Sheet'!$BC$56</c:f>
              <c:numCache>
                <c:ptCount val="1"/>
                <c:pt idx="0">
                  <c:v>-1.2292322830916487E-16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'Calculation Sheet'!$BG$51</c:f>
              <c:strCache>
                <c:ptCount val="1"/>
                <c:pt idx="0">
                  <c:v>  LoP 2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 Sheet'!$BB$52:$BB$53</c:f>
              <c:numCache>
                <c:ptCount val="2"/>
                <c:pt idx="0">
                  <c:v>3.5</c:v>
                </c:pt>
                <c:pt idx="1">
                  <c:v>-3.5</c:v>
                </c:pt>
              </c:numCache>
            </c:numRef>
          </c:xVal>
          <c:yVal>
            <c:numRef>
              <c:f>'Calculation Sheet'!$BG$52:$BG$53</c:f>
              <c:numCache>
                <c:ptCount val="2"/>
                <c:pt idx="0">
                  <c:v>2.951504348760908E+19</c:v>
                </c:pt>
                <c:pt idx="1">
                  <c:v>2.9629315353552417E+19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'Calculation Sheet'!$BH$51</c:f>
              <c:strCache>
                <c:ptCount val="1"/>
                <c:pt idx="0">
                  <c:v>  LoP 3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 Sheet'!$BB$52:$BB$53</c:f>
              <c:numCache>
                <c:ptCount val="2"/>
                <c:pt idx="0">
                  <c:v>3.5</c:v>
                </c:pt>
                <c:pt idx="1">
                  <c:v>-3.5</c:v>
                </c:pt>
              </c:numCache>
            </c:numRef>
          </c:xVal>
          <c:yVal>
            <c:numRef>
              <c:f>'Calculation Sheet'!$BH$52:$BH$53</c:f>
              <c:numCache>
                <c:ptCount val="2"/>
                <c:pt idx="0">
                  <c:v>2.951504348760908E+19</c:v>
                </c:pt>
                <c:pt idx="1">
                  <c:v>2.9629315353552417E+19</c:v>
                </c:pt>
              </c:numCache>
            </c:numRef>
          </c:yVal>
          <c:smooth val="0"/>
        </c:ser>
        <c:ser>
          <c:idx val="6"/>
          <c:order val="7"/>
          <c:tx>
            <c:v>  Drift</c:v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 Sheet'!$BD$59:$BD$60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'Calculation Sheet'!$BE$59:$BE$60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'Calculation Sheet'!$BB$63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6"/>
            <c:spPr>
              <a:noFill/>
              <a:ln>
                <a:solidFill>
                  <a:srgbClr val="4600A5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[$-F400]h:mm:ss\ AM/PM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[$-F400]h:mm:ss\ AM/PM" sourceLinked="0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'Calculation Sheet'!$BD$60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'Calculation Sheet'!$BE$60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'Calculation Sheet'!$BF$57:$BG$57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'Calculation Sheet'!$BF$56</c:f>
              <c:numCache>
                <c:ptCount val="1"/>
                <c:pt idx="0">
                  <c:v>-1.0033333333333334</c:v>
                </c:pt>
              </c:numCache>
            </c:numRef>
          </c:xVal>
          <c:yVal>
            <c:numRef>
              <c:f>'Calculation Sheet'!$BG$56</c:f>
              <c:numCache>
                <c:ptCount val="1"/>
                <c:pt idx="0">
                  <c:v>-1.2292322830916487E-16</c:v>
                </c:pt>
              </c:numCache>
            </c:numRef>
          </c:yVal>
          <c:smooth val="0"/>
        </c:ser>
        <c:ser>
          <c:idx val="2"/>
          <c:order val="10"/>
          <c:tx>
            <c:strRef>
              <c:f>'Calculation Sheet'!$BE$51</c:f>
              <c:strCache>
                <c:ptCount val="1"/>
                <c:pt idx="0">
                  <c:v>Az 3</c:v>
                </c:pt>
              </c:strCache>
            </c:strRef>
          </c:tx>
          <c:spPr>
            <a:ln w="12700">
              <a:solidFill>
                <a:srgbClr val="00641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 Sheet'!$BB$52:$BB$53</c:f>
              <c:numCache>
                <c:ptCount val="2"/>
                <c:pt idx="0">
                  <c:v>3.5</c:v>
                </c:pt>
                <c:pt idx="1">
                  <c:v>-3.5</c:v>
                </c:pt>
              </c:numCache>
            </c:numRef>
          </c:xVal>
          <c:yVal>
            <c:numRef>
              <c:f>'Calculation Sheet'!$BE$52:$BE$53</c:f>
              <c:numCache>
                <c:ptCount val="2"/>
                <c:pt idx="0">
                  <c:v>4.28801959218017E-16</c:v>
                </c:pt>
                <c:pt idx="1">
                  <c:v>-4.28801959218017E-16</c:v>
                </c:pt>
              </c:numCache>
            </c:numRef>
          </c:yVal>
          <c:smooth val="0"/>
        </c:ser>
        <c:axId val="53113490"/>
        <c:axId val="8259363"/>
      </c:scatterChart>
      <c:valAx>
        <c:axId val="53113490"/>
        <c:scaling>
          <c:orientation val="minMax"/>
          <c:max val="3.5"/>
          <c:min val="-3.5"/>
        </c:scaling>
        <c:axPos val="b"/>
        <c:delete val="1"/>
        <c:majorTickMark val="out"/>
        <c:minorTickMark val="none"/>
        <c:tickLblPos val="nextTo"/>
        <c:crossAx val="8259363"/>
        <c:crossesAt val="0"/>
        <c:crossBetween val="midCat"/>
        <c:dispUnits/>
        <c:majorUnit val="10"/>
        <c:minorUnit val="1"/>
      </c:valAx>
      <c:valAx>
        <c:axId val="8259363"/>
        <c:scaling>
          <c:orientation val="minMax"/>
          <c:max val="3.5"/>
          <c:min val="-3.5"/>
        </c:scaling>
        <c:axPos val="l"/>
        <c:delete val="1"/>
        <c:majorTickMark val="out"/>
        <c:minorTickMark val="none"/>
        <c:tickLblPos val="nextTo"/>
        <c:crossAx val="53113490"/>
        <c:crosses val="autoZero"/>
        <c:crossBetween val="midCat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345"/>
          <c:y val="0.08275"/>
          <c:w val="0.13575"/>
          <c:h val="0.2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51</xdr:col>
      <xdr:colOff>104775</xdr:colOff>
      <xdr:row>36</xdr:row>
      <xdr:rowOff>76200</xdr:rowOff>
    </xdr:from>
    <xdr:to>
      <xdr:col>52</xdr:col>
      <xdr:colOff>142875</xdr:colOff>
      <xdr:row>42</xdr:row>
      <xdr:rowOff>304800</xdr:rowOff>
    </xdr:to>
    <xdr:grpSp>
      <xdr:nvGrpSpPr>
        <xdr:cNvPr id="1" name="Gruppierung 1"/>
        <xdr:cNvGrpSpPr>
          <a:grpSpLocks/>
        </xdr:cNvGrpSpPr>
      </xdr:nvGrpSpPr>
      <xdr:grpSpPr>
        <a:xfrm>
          <a:off x="6981825" y="6858000"/>
          <a:ext cx="390525" cy="2114550"/>
          <a:chOff x="6642100" y="6388101"/>
          <a:chExt cx="393700" cy="2133599"/>
        </a:xfrm>
        <a:solidFill>
          <a:srgbClr val="FFFFFF"/>
        </a:solidFill>
      </xdr:grpSpPr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104775</xdr:colOff>
      <xdr:row>50</xdr:row>
      <xdr:rowOff>114300</xdr:rowOff>
    </xdr:from>
    <xdr:to>
      <xdr:col>36</xdr:col>
      <xdr:colOff>38100</xdr:colOff>
      <xdr:row>51</xdr:row>
      <xdr:rowOff>180975</xdr:rowOff>
    </xdr:to>
    <xdr:grpSp>
      <xdr:nvGrpSpPr>
        <xdr:cNvPr id="1" name="Gruppierung 1"/>
        <xdr:cNvGrpSpPr>
          <a:grpSpLocks/>
        </xdr:cNvGrpSpPr>
      </xdr:nvGrpSpPr>
      <xdr:grpSpPr>
        <a:xfrm>
          <a:off x="457200" y="9191625"/>
          <a:ext cx="5905500" cy="266700"/>
          <a:chOff x="236044" y="8412435"/>
          <a:chExt cx="5801711" cy="263196"/>
        </a:xfrm>
        <a:solidFill>
          <a:srgbClr val="FFFFFF"/>
        </a:solidFill>
      </xdr:grpSpPr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</xdr:rowOff>
    </xdr:from>
    <xdr:to>
      <xdr:col>54</xdr:col>
      <xdr:colOff>123825</xdr:colOff>
      <xdr:row>25</xdr:row>
      <xdr:rowOff>228600</xdr:rowOff>
    </xdr:to>
    <xdr:grpSp>
      <xdr:nvGrpSpPr>
        <xdr:cNvPr id="1" name="Gruppierung 13"/>
        <xdr:cNvGrpSpPr>
          <a:grpSpLocks noChangeAspect="1"/>
        </xdr:cNvGrpSpPr>
      </xdr:nvGrpSpPr>
      <xdr:grpSpPr>
        <a:xfrm>
          <a:off x="0" y="247650"/>
          <a:ext cx="9896475" cy="6286500"/>
          <a:chOff x="9769" y="20549"/>
          <a:chExt cx="9610646" cy="6364786"/>
        </a:xfrm>
        <a:solidFill>
          <a:srgbClr val="FFFFFF"/>
        </a:solidFill>
      </xdr:grpSpPr>
      <xdr:pic>
        <xdr:nvPicPr>
          <xdr:cNvPr id="2" name="Bild 7" descr="Universal Plotting Sheet 3.png"/>
          <xdr:cNvPicPr preferRelativeResize="1">
            <a:picLocks noChangeAspect="1"/>
          </xdr:cNvPicPr>
        </xdr:nvPicPr>
        <xdr:blipFill>
          <a:blip r:embed="rId1"/>
          <a:srcRect r="3059"/>
          <a:stretch>
            <a:fillRect/>
          </a:stretch>
        </xdr:blipFill>
        <xdr:spPr>
          <a:xfrm>
            <a:off x="115486" y="20549"/>
            <a:ext cx="9502526" cy="6310685"/>
          </a:xfrm>
          <a:prstGeom prst="rect">
            <a:avLst/>
          </a:prstGeom>
          <a:noFill/>
          <a:ln w="9525" cmpd="sng">
            <a:noFill/>
          </a:ln>
        </xdr:spPr>
      </xdr:pic>
      <xdr:graphicFrame>
        <xdr:nvGraphicFramePr>
          <xdr:cNvPr id="3" name="Diagramm 3"/>
          <xdr:cNvGraphicFramePr/>
        </xdr:nvGraphicFramePr>
        <xdr:xfrm>
          <a:off x="9769" y="34870"/>
          <a:ext cx="9610646" cy="635046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oneCellAnchor>
    <xdr:from>
      <xdr:col>58</xdr:col>
      <xdr:colOff>0</xdr:colOff>
      <xdr:row>2</xdr:row>
      <xdr:rowOff>47625</xdr:rowOff>
    </xdr:from>
    <xdr:ext cx="1495425" cy="1895475"/>
    <xdr:grpSp>
      <xdr:nvGrpSpPr>
        <xdr:cNvPr id="4" name="Gruppierung 2"/>
        <xdr:cNvGrpSpPr>
          <a:grpSpLocks/>
        </xdr:cNvGrpSpPr>
      </xdr:nvGrpSpPr>
      <xdr:grpSpPr>
        <a:xfrm>
          <a:off x="10334625" y="457200"/>
          <a:ext cx="1495425" cy="1895475"/>
          <a:chOff x="10273748" y="203199"/>
          <a:chExt cx="1514619" cy="2260601"/>
        </a:xfrm>
        <a:solidFill>
          <a:srgbClr val="FFFFFF"/>
        </a:solidFill>
      </xdr:grpSpPr>
    </xdr:grpSp>
    <xdr:clientData fPrintsWithSheet="0"/>
  </xdr:oneCellAnchor>
  <xdr:twoCellAnchor>
    <xdr:from>
      <xdr:col>58</xdr:col>
      <xdr:colOff>104775</xdr:colOff>
      <xdr:row>15</xdr:row>
      <xdr:rowOff>38100</xdr:rowOff>
    </xdr:from>
    <xdr:to>
      <xdr:col>62</xdr:col>
      <xdr:colOff>238125</xdr:colOff>
      <xdr:row>17</xdr:row>
      <xdr:rowOff>161925</xdr:rowOff>
    </xdr:to>
    <xdr:grpSp>
      <xdr:nvGrpSpPr>
        <xdr:cNvPr id="10" name="Gruppierung 6"/>
        <xdr:cNvGrpSpPr>
          <a:grpSpLocks/>
        </xdr:cNvGrpSpPr>
      </xdr:nvGrpSpPr>
      <xdr:grpSpPr>
        <a:xfrm>
          <a:off x="10439400" y="3771900"/>
          <a:ext cx="857250" cy="619125"/>
          <a:chOff x="10377357" y="3406316"/>
          <a:chExt cx="858409" cy="817768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</xdr:row>
      <xdr:rowOff>9525</xdr:rowOff>
    </xdr:from>
    <xdr:to>
      <xdr:col>54</xdr:col>
      <xdr:colOff>123825</xdr:colOff>
      <xdr:row>25</xdr:row>
      <xdr:rowOff>180975</xdr:rowOff>
    </xdr:to>
    <xdr:pic>
      <xdr:nvPicPr>
        <xdr:cNvPr id="1" name="Bild 7" descr="Universal Plotting Sheet 3.png"/>
        <xdr:cNvPicPr preferRelativeResize="1">
          <a:picLocks noChangeAspect="1"/>
        </xdr:cNvPicPr>
      </xdr:nvPicPr>
      <xdr:blipFill>
        <a:blip r:embed="rId1"/>
        <a:srcRect r="3059"/>
        <a:stretch>
          <a:fillRect/>
        </a:stretch>
      </xdr:blipFill>
      <xdr:spPr>
        <a:xfrm>
          <a:off x="104775" y="247650"/>
          <a:ext cx="9791700" cy="623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19050</xdr:rowOff>
    </xdr:from>
    <xdr:to>
      <xdr:col>6</xdr:col>
      <xdr:colOff>9525</xdr:colOff>
      <xdr:row>1</xdr:row>
      <xdr:rowOff>314325</xdr:rowOff>
    </xdr:to>
    <xdr:grpSp>
      <xdr:nvGrpSpPr>
        <xdr:cNvPr id="1" name="Gruppierung 1"/>
        <xdr:cNvGrpSpPr>
          <a:grpSpLocks/>
        </xdr:cNvGrpSpPr>
      </xdr:nvGrpSpPr>
      <xdr:grpSpPr>
        <a:xfrm>
          <a:off x="1228725" y="95250"/>
          <a:ext cx="1666875" cy="295275"/>
          <a:chOff x="1205136" y="85811"/>
          <a:chExt cx="1667813" cy="278027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tt1"/>
  <dimension ref="A1:BG48"/>
  <sheetViews>
    <sheetView tabSelected="1" zoomScale="110" zoomScaleNormal="110" zoomScalePageLayoutView="0" workbookViewId="0" topLeftCell="A1">
      <selection activeCell="P8" sqref="P8:S8"/>
    </sheetView>
  </sheetViews>
  <sheetFormatPr defaultColWidth="0" defaultRowHeight="0" customHeight="1" zeroHeight="1"/>
  <cols>
    <col min="1" max="1" width="1.37890625" style="17" customWidth="1"/>
    <col min="2" max="2" width="1.12109375" style="17" customWidth="1"/>
    <col min="3" max="38" width="2.375" style="17" customWidth="1"/>
    <col min="39" max="39" width="1.12109375" style="17" customWidth="1"/>
    <col min="40" max="40" width="2.375" style="17" customWidth="1"/>
    <col min="41" max="41" width="20.875" style="17" hidden="1" customWidth="1"/>
    <col min="42" max="42" width="13.00390625" style="17" hidden="1" customWidth="1"/>
    <col min="43" max="44" width="4.625" style="17" hidden="1" customWidth="1"/>
    <col min="45" max="45" width="14.00390625" style="17" hidden="1" customWidth="1"/>
    <col min="46" max="46" width="4.625" style="17" hidden="1" customWidth="1"/>
    <col min="47" max="47" width="25.125" style="17" hidden="1" customWidth="1"/>
    <col min="48" max="56" width="4.625" style="17" hidden="1" customWidth="1"/>
    <col min="57" max="59" width="2.375" style="17" hidden="1" customWidth="1"/>
    <col min="60" max="60" width="0" style="17" hidden="1" customWidth="1"/>
    <col min="61" max="16384" width="0" style="17" hidden="1" customWidth="1"/>
  </cols>
  <sheetData>
    <row r="1" spans="1:40" ht="6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40" ht="7.5" customHeight="1">
      <c r="A2" s="36"/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36"/>
    </row>
    <row r="3" spans="1:40" ht="6.75" customHeight="1">
      <c r="A3" s="36"/>
      <c r="B3" s="528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6"/>
      <c r="AN3" s="36"/>
    </row>
    <row r="4" spans="1:56" ht="22.5" customHeight="1">
      <c r="A4" s="36"/>
      <c r="B4" s="528"/>
      <c r="C4" s="578" t="s">
        <v>173</v>
      </c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9" t="s">
        <v>0</v>
      </c>
      <c r="AI4" s="580"/>
      <c r="AJ4" s="580"/>
      <c r="AK4" s="580"/>
      <c r="AL4" s="581"/>
      <c r="AM4" s="138"/>
      <c r="AN4" s="37"/>
      <c r="AO4" s="21"/>
      <c r="AP4" s="22"/>
      <c r="AQ4" s="23"/>
      <c r="AR4" s="23"/>
      <c r="AS4" s="23"/>
      <c r="AT4" s="23"/>
      <c r="AU4" s="23"/>
      <c r="AV4" s="23"/>
      <c r="AW4" s="23"/>
      <c r="AX4" s="22"/>
      <c r="AY4" s="22"/>
      <c r="AZ4" s="22"/>
      <c r="BA4" s="22"/>
      <c r="BB4" s="2"/>
      <c r="BC4" s="2"/>
      <c r="BD4" s="2"/>
    </row>
    <row r="5" spans="1:56" ht="22.5" customHeight="1">
      <c r="A5" s="36"/>
      <c r="B5" s="52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82" t="s">
        <v>1</v>
      </c>
      <c r="AI5" s="583"/>
      <c r="AJ5" s="583"/>
      <c r="AK5" s="583"/>
      <c r="AL5" s="584"/>
      <c r="AM5" s="138"/>
      <c r="AN5" s="37"/>
      <c r="AO5" s="21"/>
      <c r="AP5" s="22"/>
      <c r="AQ5" s="23"/>
      <c r="AR5" s="23"/>
      <c r="AS5" s="23"/>
      <c r="AT5" s="23"/>
      <c r="AU5" s="23"/>
      <c r="AV5" s="23"/>
      <c r="AW5" s="23"/>
      <c r="AX5" s="22"/>
      <c r="AY5" s="22"/>
      <c r="AZ5" s="22"/>
      <c r="BA5" s="22"/>
      <c r="BB5" s="2"/>
      <c r="BC5" s="2"/>
      <c r="BD5" s="2"/>
    </row>
    <row r="6" spans="1:56" ht="15.75" customHeight="1">
      <c r="A6" s="36"/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39"/>
      <c r="AO6" s="21"/>
      <c r="AP6" s="22"/>
      <c r="AQ6" s="23"/>
      <c r="AR6" s="23"/>
      <c r="AS6" s="23"/>
      <c r="AT6" s="23"/>
      <c r="AU6" s="23"/>
      <c r="AV6" s="23"/>
      <c r="AW6" s="23"/>
      <c r="AX6" s="22"/>
      <c r="AY6" s="22"/>
      <c r="AZ6" s="22"/>
      <c r="BA6" s="22"/>
      <c r="BB6" s="2"/>
      <c r="BC6" s="2"/>
      <c r="BD6" s="2"/>
    </row>
    <row r="7" spans="1:56" ht="15.75" customHeight="1">
      <c r="A7" s="36"/>
      <c r="B7" s="528"/>
      <c r="C7" s="585" t="s">
        <v>2</v>
      </c>
      <c r="D7" s="586"/>
      <c r="E7" s="586"/>
      <c r="F7" s="586"/>
      <c r="G7" s="586"/>
      <c r="H7" s="586"/>
      <c r="I7" s="586"/>
      <c r="J7" s="586"/>
      <c r="K7" s="586"/>
      <c r="L7" s="586"/>
      <c r="M7" s="587"/>
      <c r="O7" s="585" t="s">
        <v>3</v>
      </c>
      <c r="P7" s="586"/>
      <c r="Q7" s="586"/>
      <c r="R7" s="586"/>
      <c r="S7" s="587"/>
      <c r="U7" s="588" t="s">
        <v>4</v>
      </c>
      <c r="V7" s="589"/>
      <c r="W7" s="589"/>
      <c r="X7" s="589"/>
      <c r="Y7" s="589"/>
      <c r="Z7" s="589"/>
      <c r="AA7" s="590"/>
      <c r="AB7" s="591"/>
      <c r="AC7" s="591"/>
      <c r="AD7" s="591"/>
      <c r="AE7" s="591"/>
      <c r="AF7" s="591"/>
      <c r="AG7" s="591"/>
      <c r="AH7" s="591"/>
      <c r="AI7" s="591"/>
      <c r="AJ7" s="591"/>
      <c r="AK7" s="591"/>
      <c r="AL7" s="592"/>
      <c r="AM7" s="53"/>
      <c r="AN7" s="37"/>
      <c r="AO7" s="21"/>
      <c r="AP7" s="21"/>
      <c r="AQ7" s="23"/>
      <c r="AR7" s="23"/>
      <c r="AS7" s="23"/>
      <c r="AT7" s="23"/>
      <c r="AU7" s="23"/>
      <c r="AV7" s="23"/>
      <c r="AW7" s="23"/>
      <c r="AX7" s="24"/>
      <c r="AY7" s="21"/>
      <c r="AZ7" s="21"/>
      <c r="BA7" s="22"/>
      <c r="BB7" s="2"/>
      <c r="BC7" s="2"/>
      <c r="BD7" s="2"/>
    </row>
    <row r="8" spans="1:56" ht="22.5" customHeight="1">
      <c r="A8" s="36"/>
      <c r="B8" s="528"/>
      <c r="C8" s="569" t="s">
        <v>5</v>
      </c>
      <c r="D8" s="570"/>
      <c r="E8" s="571"/>
      <c r="F8" s="602"/>
      <c r="G8" s="603"/>
      <c r="H8" s="603"/>
      <c r="I8" s="603"/>
      <c r="J8" s="603"/>
      <c r="K8" s="603"/>
      <c r="L8" s="570">
        <f>IF(F8="","",IF(F8&lt;0,"S","N"))</f>
      </c>
      <c r="M8" s="571"/>
      <c r="N8" s="528"/>
      <c r="O8" s="529" t="s">
        <v>6</v>
      </c>
      <c r="P8" s="572"/>
      <c r="Q8" s="572"/>
      <c r="R8" s="572"/>
      <c r="S8" s="573"/>
      <c r="T8" s="528"/>
      <c r="U8" s="574" t="s">
        <v>7</v>
      </c>
      <c r="V8" s="575"/>
      <c r="W8" s="575"/>
      <c r="X8" s="575"/>
      <c r="Y8" s="575"/>
      <c r="Z8" s="575"/>
      <c r="AA8" s="576"/>
      <c r="AB8" s="593"/>
      <c r="AC8" s="593"/>
      <c r="AD8" s="593"/>
      <c r="AE8" s="593"/>
      <c r="AF8" s="593"/>
      <c r="AG8" s="593"/>
      <c r="AH8" s="593"/>
      <c r="AI8" s="593"/>
      <c r="AJ8" s="593"/>
      <c r="AK8" s="593"/>
      <c r="AL8" s="594"/>
      <c r="AM8" s="139"/>
      <c r="AN8" s="37"/>
      <c r="AO8" s="96" t="s">
        <v>8</v>
      </c>
      <c r="AP8" s="524">
        <f>TRUNC(F8/100)+(F8/100-TRUNC(F8/100))/60*100</f>
        <v>0</v>
      </c>
      <c r="AQ8" s="23"/>
      <c r="AR8" s="23"/>
      <c r="AS8" s="23"/>
      <c r="AT8" s="23"/>
      <c r="AU8" s="23"/>
      <c r="AV8" s="23"/>
      <c r="AW8" s="23"/>
      <c r="AX8" s="25"/>
      <c r="AY8" s="26"/>
      <c r="AZ8" s="27"/>
      <c r="BA8" s="27"/>
      <c r="BB8" s="2"/>
      <c r="BC8" s="2"/>
      <c r="BD8" s="2"/>
    </row>
    <row r="9" spans="1:56" ht="22.5" customHeight="1">
      <c r="A9" s="36"/>
      <c r="B9" s="528"/>
      <c r="C9" s="595" t="s">
        <v>9</v>
      </c>
      <c r="D9" s="596"/>
      <c r="E9" s="597"/>
      <c r="F9" s="604"/>
      <c r="G9" s="605"/>
      <c r="H9" s="605"/>
      <c r="I9" s="605"/>
      <c r="J9" s="605"/>
      <c r="K9" s="605"/>
      <c r="L9" s="596">
        <f>IF(F9="","",IF(F9&lt;0,"W","E"))</f>
      </c>
      <c r="M9" s="597"/>
      <c r="N9" s="528"/>
      <c r="O9" s="530" t="s">
        <v>10</v>
      </c>
      <c r="P9" s="562"/>
      <c r="Q9" s="562"/>
      <c r="R9" s="562"/>
      <c r="S9" s="563"/>
      <c r="T9" s="528"/>
      <c r="U9" s="564" t="s">
        <v>11</v>
      </c>
      <c r="V9" s="565"/>
      <c r="W9" s="565"/>
      <c r="X9" s="565"/>
      <c r="Y9" s="565"/>
      <c r="Z9" s="565"/>
      <c r="AA9" s="566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568"/>
      <c r="AM9" s="140"/>
      <c r="AN9" s="39"/>
      <c r="AO9" s="96" t="s">
        <v>12</v>
      </c>
      <c r="AP9" s="524">
        <f>TRUNC(F9/100)+(F9/100-TRUNC(F9/100))/60*100</f>
        <v>0</v>
      </c>
      <c r="AQ9" s="21"/>
      <c r="AR9" s="29"/>
      <c r="AS9" s="21"/>
      <c r="AT9" s="21"/>
      <c r="AU9" s="21"/>
      <c r="AV9" s="26"/>
      <c r="AW9" s="30"/>
      <c r="AX9" s="30"/>
      <c r="AY9" s="26"/>
      <c r="AZ9" s="31"/>
      <c r="BA9" s="31"/>
      <c r="BB9" s="2"/>
      <c r="BC9" s="2"/>
      <c r="BD9" s="2"/>
    </row>
    <row r="10" spans="1:56" ht="6.75" customHeight="1">
      <c r="A10" s="36"/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39"/>
      <c r="AO10" s="28"/>
      <c r="AP10" s="525"/>
      <c r="AQ10" s="21"/>
      <c r="AR10" s="21"/>
      <c r="AS10" s="21"/>
      <c r="AT10" s="21"/>
      <c r="AU10" s="21"/>
      <c r="AV10" s="26"/>
      <c r="AW10" s="22"/>
      <c r="AX10" s="22"/>
      <c r="AY10" s="26"/>
      <c r="AZ10" s="22"/>
      <c r="BA10" s="22"/>
      <c r="BB10" s="2"/>
      <c r="BC10" s="2"/>
      <c r="BD10" s="2"/>
    </row>
    <row r="11" spans="1:56" ht="15.75" customHeight="1">
      <c r="A11" s="36"/>
      <c r="B11" s="528"/>
      <c r="C11" s="585" t="s">
        <v>13</v>
      </c>
      <c r="D11" s="586"/>
      <c r="E11" s="586"/>
      <c r="F11" s="586"/>
      <c r="G11" s="586"/>
      <c r="H11" s="586"/>
      <c r="I11" s="586"/>
      <c r="J11" s="586"/>
      <c r="K11" s="586"/>
      <c r="L11" s="586"/>
      <c r="M11" s="587"/>
      <c r="N11" s="528"/>
      <c r="O11" s="585" t="s">
        <v>14</v>
      </c>
      <c r="P11" s="586"/>
      <c r="Q11" s="586"/>
      <c r="R11" s="586"/>
      <c r="S11" s="587"/>
      <c r="T11" s="531"/>
      <c r="U11" s="588" t="s">
        <v>15</v>
      </c>
      <c r="V11" s="589"/>
      <c r="W11" s="589"/>
      <c r="X11" s="589"/>
      <c r="Y11" s="589"/>
      <c r="Z11" s="589"/>
      <c r="AA11" s="590"/>
      <c r="AB11" s="591"/>
      <c r="AC11" s="591"/>
      <c r="AD11" s="591"/>
      <c r="AE11" s="591"/>
      <c r="AF11" s="591"/>
      <c r="AG11" s="591"/>
      <c r="AH11" s="591"/>
      <c r="AI11" s="591"/>
      <c r="AJ11" s="591"/>
      <c r="AK11" s="591"/>
      <c r="AL11" s="592"/>
      <c r="AM11" s="138"/>
      <c r="AN11" s="41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42" ht="22.5" customHeight="1">
      <c r="A12" s="36"/>
      <c r="B12" s="528"/>
      <c r="C12" s="569" t="s">
        <v>16</v>
      </c>
      <c r="D12" s="570"/>
      <c r="E12" s="571"/>
      <c r="F12" s="611"/>
      <c r="G12" s="611"/>
      <c r="H12" s="611"/>
      <c r="I12" s="611"/>
      <c r="J12" s="611"/>
      <c r="K12" s="611"/>
      <c r="L12" s="611"/>
      <c r="M12" s="612"/>
      <c r="N12" s="528"/>
      <c r="O12" s="569" t="s">
        <v>158</v>
      </c>
      <c r="P12" s="571"/>
      <c r="Q12" s="598"/>
      <c r="R12" s="598"/>
      <c r="S12" s="599"/>
      <c r="T12" s="528"/>
      <c r="U12" s="574" t="s">
        <v>17</v>
      </c>
      <c r="V12" s="575"/>
      <c r="W12" s="575"/>
      <c r="X12" s="575"/>
      <c r="Y12" s="575"/>
      <c r="Z12" s="575"/>
      <c r="AA12" s="576"/>
      <c r="AB12" s="600"/>
      <c r="AC12" s="600"/>
      <c r="AD12" s="600"/>
      <c r="AE12" s="600"/>
      <c r="AF12" s="600"/>
      <c r="AG12" s="600"/>
      <c r="AH12" s="600"/>
      <c r="AI12" s="600"/>
      <c r="AJ12" s="600"/>
      <c r="AK12" s="600"/>
      <c r="AL12" s="601"/>
      <c r="AM12" s="138"/>
      <c r="AN12" s="36"/>
      <c r="AO12" s="17" t="s">
        <v>164</v>
      </c>
      <c r="AP12" s="17">
        <f>jd(YEAR(F13),MONTH(F13),DAY(F13),HOUR(P24),0,0,0)</f>
        <v>2415020.25</v>
      </c>
    </row>
    <row r="13" spans="1:42" ht="22.5" customHeight="1">
      <c r="A13" s="36"/>
      <c r="B13" s="528"/>
      <c r="C13" s="595" t="s">
        <v>18</v>
      </c>
      <c r="D13" s="596"/>
      <c r="E13" s="597"/>
      <c r="F13" s="620"/>
      <c r="G13" s="620"/>
      <c r="H13" s="620"/>
      <c r="I13" s="620"/>
      <c r="J13" s="620"/>
      <c r="K13" s="620"/>
      <c r="L13" s="620"/>
      <c r="M13" s="621"/>
      <c r="N13" s="528"/>
      <c r="O13" s="595" t="s">
        <v>159</v>
      </c>
      <c r="P13" s="597"/>
      <c r="Q13" s="607"/>
      <c r="R13" s="607"/>
      <c r="S13" s="608"/>
      <c r="T13" s="528"/>
      <c r="U13" s="564" t="s">
        <v>19</v>
      </c>
      <c r="V13" s="565"/>
      <c r="W13" s="565"/>
      <c r="X13" s="565"/>
      <c r="Y13" s="565"/>
      <c r="Z13" s="565"/>
      <c r="AA13" s="566"/>
      <c r="AB13" s="609"/>
      <c r="AC13" s="610"/>
      <c r="AD13" s="610"/>
      <c r="AE13" s="610"/>
      <c r="AF13" s="610"/>
      <c r="AG13" s="613"/>
      <c r="AH13" s="614"/>
      <c r="AI13" s="614"/>
      <c r="AJ13" s="614"/>
      <c r="AK13" s="614"/>
      <c r="AL13" s="615"/>
      <c r="AM13" s="490"/>
      <c r="AN13" s="36"/>
      <c r="AO13" s="17" t="s">
        <v>161</v>
      </c>
      <c r="AP13" s="17">
        <f>jd(YEAR(F13),MONTH(F13),DAY(F13),HOUR(P24),MINUTE(P24),0,0)</f>
        <v>2415020.270138889</v>
      </c>
    </row>
    <row r="14" spans="1:40" ht="6.75" customHeight="1" thickBot="1">
      <c r="A14" s="36"/>
      <c r="B14" s="528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532"/>
      <c r="AG14" s="532"/>
      <c r="AH14" s="532"/>
      <c r="AI14" s="532"/>
      <c r="AJ14" s="532"/>
      <c r="AK14" s="532"/>
      <c r="AL14" s="532"/>
      <c r="AM14" s="126"/>
      <c r="AN14" s="36"/>
    </row>
    <row r="15" spans="1:40" ht="6.75" customHeight="1">
      <c r="A15" s="36"/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36"/>
    </row>
    <row r="16" spans="1:45" ht="19.5" customHeight="1">
      <c r="A16" s="36"/>
      <c r="B16" s="528"/>
      <c r="C16" s="616" t="str">
        <f>IF(Q13="PM","Sunset (Local)","Sunrise (Local)")</f>
        <v>Sunrise (Local)</v>
      </c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533" t="s">
        <v>20</v>
      </c>
      <c r="P16" s="617">
        <f>IF(Q13="AM",sunrise(DATE(YEAR(F12),MONTH(F12),DAY(F12)),Q12,AP9,AP8),Sunset(DATE(YEAR(F12),MONTH(F12),DAY(F12)),Q12,AP9,AP8))</f>
        <v>0.7541666666666668</v>
      </c>
      <c r="Q16" s="583"/>
      <c r="R16" s="583"/>
      <c r="S16" s="583"/>
      <c r="T16" s="583"/>
      <c r="U16" s="583"/>
      <c r="V16" s="583"/>
      <c r="W16" s="528"/>
      <c r="X16" s="528"/>
      <c r="Y16" s="528"/>
      <c r="Z16" s="528"/>
      <c r="AA16" s="528"/>
      <c r="AB16" s="528"/>
      <c r="AC16" s="528"/>
      <c r="AD16" s="528"/>
      <c r="AE16" s="528"/>
      <c r="AF16" s="528"/>
      <c r="AG16" s="528"/>
      <c r="AH16" s="528"/>
      <c r="AI16" s="528"/>
      <c r="AJ16" s="528"/>
      <c r="AK16" s="528"/>
      <c r="AL16" s="528"/>
      <c r="AM16" s="528"/>
      <c r="AN16" s="36"/>
      <c r="AS16" s="17">
        <f>IF(Q13="AM",sunrise(DATE(YEAR(F12),MONTH(F12),DAY(F12)),Q12,AP9,AP8),Sunset(DATE(YEAR(F12),MONTH(F12),DAY(F12)),Q12,AP9,AP8))</f>
        <v>0.7541666666666668</v>
      </c>
    </row>
    <row r="17" spans="1:40" ht="9" customHeight="1">
      <c r="A17" s="36"/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33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36"/>
    </row>
    <row r="18" spans="1:45" ht="15.75" customHeight="1" hidden="1">
      <c r="A18" s="36"/>
      <c r="B18" s="528"/>
      <c r="C18" s="616" t="s">
        <v>21</v>
      </c>
      <c r="D18" s="616"/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O18" s="533" t="s">
        <v>20</v>
      </c>
      <c r="P18" s="618">
        <f>ABS(AP18)</f>
        <v>0</v>
      </c>
      <c r="Q18" s="619"/>
      <c r="R18" s="619"/>
      <c r="S18" s="619"/>
      <c r="T18" s="619"/>
      <c r="U18" s="619"/>
      <c r="V18" s="619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36" t="s">
        <v>169</v>
      </c>
      <c r="AO18" s="17" t="s">
        <v>21</v>
      </c>
      <c r="AP18" s="17">
        <f>AP9/15/24</f>
        <v>0</v>
      </c>
      <c r="AS18" s="17" t="s">
        <v>169</v>
      </c>
    </row>
    <row r="19" spans="1:40" ht="12" customHeight="1" hidden="1">
      <c r="A19" s="36"/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33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8"/>
      <c r="AM19" s="528"/>
      <c r="AN19" s="36"/>
    </row>
    <row r="20" spans="1:45" ht="19.5" customHeight="1">
      <c r="A20" s="36"/>
      <c r="B20" s="528"/>
      <c r="C20" s="616" t="str">
        <f>IF(Q13="PM","Sunset (UTC), (visible)","Sunrise (UTC), (visible)")</f>
        <v>Sunrise (UTC), (visible)</v>
      </c>
      <c r="D20" s="616"/>
      <c r="E20" s="616"/>
      <c r="F20" s="616"/>
      <c r="G20" s="616"/>
      <c r="H20" s="616"/>
      <c r="I20" s="616"/>
      <c r="J20" s="616"/>
      <c r="K20" s="616"/>
      <c r="L20" s="616"/>
      <c r="M20" s="616"/>
      <c r="N20" s="616"/>
      <c r="O20" s="533" t="s">
        <v>20</v>
      </c>
      <c r="P20" s="617">
        <f>IF(Q13="AM",sunrise(DATE(YEAR(F12),MONTH(F12),DAY(F12)),0,AP9,AP8),Sunset(DATE(YEAR(F12),MONTH(F12),DAY(F12)),0,AP9,AP8))</f>
        <v>0.7541666666666668</v>
      </c>
      <c r="Q20" s="583"/>
      <c r="R20" s="583"/>
      <c r="S20" s="583"/>
      <c r="T20" s="583"/>
      <c r="U20" s="583"/>
      <c r="V20" s="583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36"/>
      <c r="AP20" s="526"/>
      <c r="AS20" s="17">
        <f>IF(Q13="AM",sunrise(DATE(YEAR(F12),MONTH(F12),DAY(F12)),0,AP9,AP8),Sunset(DATE(YEAR(F12),MONTH(F12),DAY(F12)),0,AP9,AP8))</f>
        <v>0.7541666666666668</v>
      </c>
    </row>
    <row r="21" spans="1:40" ht="9" customHeight="1">
      <c r="A21" s="36"/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33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36"/>
    </row>
    <row r="22" spans="1:47" ht="19.5" customHeight="1">
      <c r="A22" s="36"/>
      <c r="B22" s="528"/>
      <c r="C22" s="616" t="str">
        <f>IF(Q13="AM","Civil Twilight (Starts)","Cilvil Twilight (Ends)")&amp;" (UTC)"</f>
        <v>Cilvil Twilight (Ends) (UTC)</v>
      </c>
      <c r="D22" s="616"/>
      <c r="E22" s="616"/>
      <c r="F22" s="616"/>
      <c r="G22" s="616"/>
      <c r="H22" s="616"/>
      <c r="I22" s="616"/>
      <c r="J22" s="616"/>
      <c r="K22" s="616"/>
      <c r="L22" s="616"/>
      <c r="M22" s="616"/>
      <c r="N22" s="616"/>
      <c r="O22" s="533" t="s">
        <v>20</v>
      </c>
      <c r="P22" s="617">
        <f>IF(Q13="AM",CivilTwilightstarts(DATE(YEAR(F12),MONTH(F12),DAY(F12)),0,AP9,AP8),CivilTwilightends(DATE(YEAR(F12),MONTH(F12),DAY(F12)),0,AP9,AP8))</f>
        <v>0.7701388888888889</v>
      </c>
      <c r="Q22" s="583"/>
      <c r="R22" s="583"/>
      <c r="S22" s="583"/>
      <c r="T22" s="583"/>
      <c r="U22" s="583"/>
      <c r="V22" s="583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36"/>
      <c r="AO22" s="17" t="s">
        <v>162</v>
      </c>
      <c r="AP22" s="17">
        <f>CivilTwilightstarts(DATE(YEAR(F12),MONTH(F12),DAY(F12)),0,AP9,AP8)</f>
        <v>0.2340277777777778</v>
      </c>
      <c r="AS22" s="17">
        <f>IF(Q13="AM",CivilTwilightstarts(DATE(YEAR(F12),MONTH(F12),DAY(F12)),0,AP9,AP8),CivilTwilightends(DATE(YEAR(F12),MONTH(F12),DAY(F12)),0,AP9,AP8))</f>
        <v>0.7701388888888889</v>
      </c>
      <c r="AU22" s="17" t="str">
        <f>IF(Q13="AM","Civil Twilight (Starts)","Cilvil Twilight (Ends)")&amp;" (UTC)"</f>
        <v>Cilvil Twilight (Ends) (UTC)</v>
      </c>
    </row>
    <row r="23" spans="1:42" ht="9" customHeight="1">
      <c r="A23" s="36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33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36"/>
      <c r="AO23" s="17" t="s">
        <v>163</v>
      </c>
      <c r="AP23" s="17">
        <f>CivilTwilightends(DATE(YEAR(F12),MONTH(F12),DAY(F12)),0,AP9,AP8)</f>
        <v>0.7701388888888889</v>
      </c>
    </row>
    <row r="24" spans="1:47" ht="19.5" customHeight="1">
      <c r="A24" s="36"/>
      <c r="B24" s="528"/>
      <c r="C24" s="616" t="s">
        <v>160</v>
      </c>
      <c r="D24" s="616"/>
      <c r="E24" s="616"/>
      <c r="F24" s="616"/>
      <c r="G24" s="616"/>
      <c r="H24" s="616"/>
      <c r="I24" s="616"/>
      <c r="J24" s="616"/>
      <c r="K24" s="616"/>
      <c r="L24" s="616"/>
      <c r="M24" s="616"/>
      <c r="N24" s="616"/>
      <c r="O24" s="533" t="s">
        <v>20</v>
      </c>
      <c r="P24" s="617">
        <f>P22</f>
        <v>0.7701388888888889</v>
      </c>
      <c r="Q24" s="583"/>
      <c r="R24" s="583"/>
      <c r="S24" s="583"/>
      <c r="T24" s="583"/>
      <c r="U24" s="583"/>
      <c r="V24" s="583"/>
      <c r="W24" s="622" t="s">
        <v>22</v>
      </c>
      <c r="X24" s="622"/>
      <c r="Y24" s="616" t="s">
        <v>23</v>
      </c>
      <c r="Z24" s="616"/>
      <c r="AA24" s="616"/>
      <c r="AB24" s="616"/>
      <c r="AC24" s="616"/>
      <c r="AD24" s="616"/>
      <c r="AE24" s="528" t="s">
        <v>20</v>
      </c>
      <c r="AF24" s="606">
        <f>IF(F8="","",TRUNC(AP24)*100+(AP24-TRUNC(AP24))*60)</f>
      </c>
      <c r="AG24" s="606"/>
      <c r="AH24" s="606"/>
      <c r="AI24" s="606"/>
      <c r="AJ24" s="606"/>
      <c r="AK24" s="606"/>
      <c r="AL24" s="534"/>
      <c r="AM24" s="141"/>
      <c r="AN24" s="36"/>
      <c r="AO24" s="17" t="s">
        <v>165</v>
      </c>
      <c r="AP24" s="17">
        <f>SternzeitGreenwich(AP12)</f>
        <v>9.937364422366954</v>
      </c>
      <c r="AS24" s="526">
        <f>P22</f>
        <v>0.7701388888888889</v>
      </c>
      <c r="AU24" s="17" t="str">
        <f>TEXT(INT(AP24),"000")&amp;"° "&amp;TEXT((AP24-INT(AP24))*60,"00,0")&amp;"'"</f>
        <v>009° 56,2'</v>
      </c>
    </row>
    <row r="25" spans="1:42" ht="9" customHeight="1">
      <c r="A25" s="36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33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35"/>
      <c r="AG25" s="535"/>
      <c r="AH25" s="535"/>
      <c r="AI25" s="535"/>
      <c r="AJ25" s="535"/>
      <c r="AK25" s="535"/>
      <c r="AL25" s="536"/>
      <c r="AM25" s="536"/>
      <c r="AN25" s="36"/>
      <c r="AO25" s="17" t="s">
        <v>165</v>
      </c>
      <c r="AP25" s="17">
        <f>SternzeitGreenwich(AP13)</f>
        <v>17.207214338122867</v>
      </c>
    </row>
    <row r="26" spans="1:47" ht="19.5" customHeight="1">
      <c r="A26" s="36"/>
      <c r="B26" s="528"/>
      <c r="C26" s="616" t="s">
        <v>24</v>
      </c>
      <c r="D26" s="616"/>
      <c r="E26" s="616"/>
      <c r="F26" s="616"/>
      <c r="G26" s="616"/>
      <c r="H26" s="616"/>
      <c r="I26" s="616"/>
      <c r="J26" s="616"/>
      <c r="K26" s="616"/>
      <c r="L26" s="616"/>
      <c r="M26" s="616"/>
      <c r="N26" s="616"/>
      <c r="O26" s="533" t="s">
        <v>20</v>
      </c>
      <c r="P26" s="619">
        <f>ABS(Q12/24)</f>
        <v>0</v>
      </c>
      <c r="Q26" s="619"/>
      <c r="R26" s="619"/>
      <c r="S26" s="619"/>
      <c r="T26" s="619"/>
      <c r="U26" s="619"/>
      <c r="V26" s="619"/>
      <c r="W26" s="528"/>
      <c r="X26" s="528"/>
      <c r="Y26" s="616" t="s">
        <v>25</v>
      </c>
      <c r="Z26" s="616"/>
      <c r="AA26" s="616"/>
      <c r="AB26" s="616"/>
      <c r="AC26" s="616"/>
      <c r="AD26" s="616"/>
      <c r="AE26" s="528" t="s">
        <v>20</v>
      </c>
      <c r="AF26" s="606">
        <f>IF(F8="","",TRUNC(AP26)*100+(AP26-TRUNC(AP26))*60)</f>
      </c>
      <c r="AG26" s="606"/>
      <c r="AH26" s="606"/>
      <c r="AI26" s="606"/>
      <c r="AJ26" s="606"/>
      <c r="AK26" s="606"/>
      <c r="AL26" s="534"/>
      <c r="AM26" s="141"/>
      <c r="AN26" s="36"/>
      <c r="AO26" s="17" t="s">
        <v>166</v>
      </c>
      <c r="AP26" s="17">
        <f>AP25-AP24</f>
        <v>7.269849915755913</v>
      </c>
      <c r="AS26" s="17">
        <f>ABS(Q12/24)</f>
        <v>0</v>
      </c>
      <c r="AU26" s="17" t="str">
        <f>TEXT(INT(AP26),"000")&amp;"° "&amp;TEXT((AP26-INT(AP26))*60,"00,0")&amp;"'"</f>
        <v>007° 16,2'</v>
      </c>
    </row>
    <row r="27" spans="1:42" ht="9" customHeight="1">
      <c r="A27" s="36"/>
      <c r="B27" s="528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33"/>
      <c r="P27" s="528"/>
      <c r="Q27" s="528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28"/>
      <c r="AC27" s="528"/>
      <c r="AD27" s="528"/>
      <c r="AE27" s="528"/>
      <c r="AF27" s="535"/>
      <c r="AG27" s="535"/>
      <c r="AH27" s="535"/>
      <c r="AI27" s="535"/>
      <c r="AJ27" s="535"/>
      <c r="AK27" s="535"/>
      <c r="AL27" s="536"/>
      <c r="AM27" s="536"/>
      <c r="AN27" s="36"/>
      <c r="AO27" s="17" t="s">
        <v>168</v>
      </c>
      <c r="AP27" s="17">
        <f>Q12/24</f>
        <v>0</v>
      </c>
    </row>
    <row r="28" spans="1:47" ht="19.5" customHeight="1" thickBot="1">
      <c r="A28" s="36"/>
      <c r="B28" s="528"/>
      <c r="C28" s="616" t="s">
        <v>26</v>
      </c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533" t="s">
        <v>20</v>
      </c>
      <c r="P28" s="638">
        <f>P24+P26</f>
        <v>0.7701388888888889</v>
      </c>
      <c r="Q28" s="639"/>
      <c r="R28" s="639"/>
      <c r="S28" s="639"/>
      <c r="T28" s="639"/>
      <c r="U28" s="639"/>
      <c r="V28" s="639"/>
      <c r="W28" s="528"/>
      <c r="X28" s="528"/>
      <c r="Y28" s="616" t="s">
        <v>23</v>
      </c>
      <c r="Z28" s="616"/>
      <c r="AA28" s="616"/>
      <c r="AB28" s="616"/>
      <c r="AC28" s="616"/>
      <c r="AD28" s="616"/>
      <c r="AE28" s="528" t="s">
        <v>20</v>
      </c>
      <c r="AF28" s="606">
        <f>IF(F8="","",TRUNC(AP25)*100+(AP25-TRUNC(AP25))*60)</f>
      </c>
      <c r="AG28" s="606"/>
      <c r="AH28" s="606"/>
      <c r="AI28" s="606"/>
      <c r="AJ28" s="606"/>
      <c r="AK28" s="606"/>
      <c r="AL28" s="534"/>
      <c r="AM28" s="141"/>
      <c r="AN28" s="36"/>
      <c r="AS28" s="526">
        <f>P24+P26</f>
        <v>0.7701388888888889</v>
      </c>
      <c r="AU28" s="17" t="str">
        <f>TEXT(INT(AP25),"000")&amp;"° "&amp;TEXT((AP25-INT(AP25))*60,"00,0")&amp;"'"</f>
        <v>017° 12,4'</v>
      </c>
    </row>
    <row r="29" spans="1:40" ht="9" customHeight="1">
      <c r="A29" s="36"/>
      <c r="B29" s="528"/>
      <c r="C29" s="528"/>
      <c r="D29" s="528"/>
      <c r="E29" s="528"/>
      <c r="F29" s="528"/>
      <c r="G29" s="528"/>
      <c r="H29" s="528"/>
      <c r="I29" s="528"/>
      <c r="J29" s="528"/>
      <c r="K29" s="528"/>
      <c r="L29" s="528"/>
      <c r="M29" s="528"/>
      <c r="N29" s="528"/>
      <c r="O29" s="528"/>
      <c r="P29" s="528"/>
      <c r="Q29" s="528"/>
      <c r="R29" s="528"/>
      <c r="S29" s="528"/>
      <c r="T29" s="528"/>
      <c r="U29" s="528"/>
      <c r="V29" s="528"/>
      <c r="W29" s="528"/>
      <c r="X29" s="528"/>
      <c r="Y29" s="528"/>
      <c r="Z29" s="528"/>
      <c r="AA29" s="528"/>
      <c r="AB29" s="528"/>
      <c r="AC29" s="528"/>
      <c r="AD29" s="528"/>
      <c r="AE29" s="528"/>
      <c r="AF29" s="535"/>
      <c r="AG29" s="535"/>
      <c r="AH29" s="535"/>
      <c r="AI29" s="535"/>
      <c r="AJ29" s="535"/>
      <c r="AK29" s="535"/>
      <c r="AL29" s="536"/>
      <c r="AM29" s="536"/>
      <c r="AN29" s="36"/>
    </row>
    <row r="30" spans="1:47" ht="19.5" customHeight="1">
      <c r="A30" s="36"/>
      <c r="B30" s="528"/>
      <c r="C30" s="528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616" t="s">
        <v>439</v>
      </c>
      <c r="Z30" s="616"/>
      <c r="AA30" s="616"/>
      <c r="AB30" s="616"/>
      <c r="AC30" s="616"/>
      <c r="AD30" s="616"/>
      <c r="AE30" s="528" t="s">
        <v>20</v>
      </c>
      <c r="AF30" s="606">
        <f>IF(F8="","",TRUNC(AP9)*100+(AP9-TRUNC(AP9))*60)</f>
      </c>
      <c r="AG30" s="606"/>
      <c r="AH30" s="606"/>
      <c r="AI30" s="606"/>
      <c r="AJ30" s="606"/>
      <c r="AK30" s="606"/>
      <c r="AL30" s="561">
        <f>L9</f>
      </c>
      <c r="AM30" s="141"/>
      <c r="AN30" s="36"/>
      <c r="AU30" s="17" t="str">
        <f>TEXT(F9,"000")&amp;"° "&amp;TEXT(I9,"00,0")&amp;"' "&amp;L9</f>
        <v>000° 00,0' </v>
      </c>
    </row>
    <row r="31" spans="1:40" ht="9" customHeight="1">
      <c r="A31" s="36"/>
      <c r="B31" s="528"/>
      <c r="C31" s="528"/>
      <c r="D31" s="528"/>
      <c r="E31" s="528"/>
      <c r="F31" s="528"/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535"/>
      <c r="AG31" s="535"/>
      <c r="AH31" s="535"/>
      <c r="AI31" s="535"/>
      <c r="AJ31" s="535"/>
      <c r="AK31" s="535"/>
      <c r="AL31" s="536"/>
      <c r="AM31" s="536"/>
      <c r="AN31" s="36"/>
    </row>
    <row r="32" spans="1:47" ht="19.5" customHeight="1" thickBot="1">
      <c r="A32" s="36"/>
      <c r="B32" s="528"/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616" t="s">
        <v>27</v>
      </c>
      <c r="Z32" s="616"/>
      <c r="AA32" s="616"/>
      <c r="AB32" s="616"/>
      <c r="AC32" s="616"/>
      <c r="AD32" s="616"/>
      <c r="AE32" s="528" t="s">
        <v>20</v>
      </c>
      <c r="AF32" s="577">
        <f>IF(F8="","",TRUNC(AP32)*100+(AP32-TRUNC(AP32))*60)</f>
      </c>
      <c r="AG32" s="577"/>
      <c r="AH32" s="577"/>
      <c r="AI32" s="577"/>
      <c r="AJ32" s="577"/>
      <c r="AK32" s="577"/>
      <c r="AL32" s="537"/>
      <c r="AM32" s="141"/>
      <c r="AN32" s="36"/>
      <c r="AP32" s="17">
        <f>IF(AP25+AP9&gt;360,AP25+AP9-360,AP25+AP9)</f>
        <v>17.207214338122867</v>
      </c>
      <c r="AU32" s="17" t="str">
        <f>TEXT(INT(AP32),"000")&amp;"° "&amp;TEXT((AP32-INT(AP32))*60,"00,0")&amp;"'"</f>
        <v>017° 12,4'</v>
      </c>
    </row>
    <row r="33" spans="1:40" ht="15.75" customHeight="1">
      <c r="A33" s="36"/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36"/>
    </row>
    <row r="34" spans="1:40" ht="21.75" customHeight="1">
      <c r="A34" s="36"/>
      <c r="B34" s="528"/>
      <c r="C34" s="623" t="s">
        <v>28</v>
      </c>
      <c r="D34" s="624"/>
      <c r="E34" s="624"/>
      <c r="F34" s="624"/>
      <c r="G34" s="624"/>
      <c r="H34" s="624"/>
      <c r="I34" s="624"/>
      <c r="J34" s="625">
        <f>ROUND(AP8,0)</f>
        <v>0</v>
      </c>
      <c r="K34" s="625"/>
      <c r="L34" s="625"/>
      <c r="M34" s="625"/>
      <c r="N34" s="626"/>
      <c r="O34" s="627" t="s">
        <v>22</v>
      </c>
      <c r="P34" s="628"/>
      <c r="Q34" s="629" t="s">
        <v>29</v>
      </c>
      <c r="R34" s="629"/>
      <c r="S34" s="629"/>
      <c r="T34" s="629"/>
      <c r="U34" s="629"/>
      <c r="V34" s="629"/>
      <c r="W34" s="629"/>
      <c r="X34" s="629"/>
      <c r="Y34" s="629"/>
      <c r="Z34" s="629"/>
      <c r="AA34" s="629"/>
      <c r="AB34" s="629"/>
      <c r="AC34" s="629"/>
      <c r="AD34" s="629"/>
      <c r="AE34" s="629"/>
      <c r="AF34" s="629"/>
      <c r="AG34" s="629"/>
      <c r="AH34" s="629"/>
      <c r="AI34" s="629"/>
      <c r="AJ34" s="629"/>
      <c r="AK34" s="629"/>
      <c r="AL34" s="629"/>
      <c r="AM34" s="538"/>
      <c r="AN34" s="36"/>
    </row>
    <row r="35" spans="1:40" ht="21.75" customHeight="1">
      <c r="A35" s="36"/>
      <c r="B35" s="528"/>
      <c r="C35" s="623" t="s">
        <v>30</v>
      </c>
      <c r="D35" s="624"/>
      <c r="E35" s="624"/>
      <c r="F35" s="624"/>
      <c r="G35" s="624"/>
      <c r="H35" s="624"/>
      <c r="I35" s="624"/>
      <c r="J35" s="630">
        <f>ROUND(AP32,0)</f>
        <v>17</v>
      </c>
      <c r="K35" s="630"/>
      <c r="L35" s="630"/>
      <c r="M35" s="630"/>
      <c r="N35" s="631"/>
      <c r="O35" s="627"/>
      <c r="P35" s="628"/>
      <c r="Q35" s="629"/>
      <c r="R35" s="629"/>
      <c r="S35" s="629"/>
      <c r="T35" s="629"/>
      <c r="U35" s="629"/>
      <c r="V35" s="629"/>
      <c r="W35" s="629"/>
      <c r="X35" s="629"/>
      <c r="Y35" s="629"/>
      <c r="Z35" s="629"/>
      <c r="AA35" s="629"/>
      <c r="AB35" s="629"/>
      <c r="AC35" s="629"/>
      <c r="AD35" s="629"/>
      <c r="AE35" s="629"/>
      <c r="AF35" s="629"/>
      <c r="AG35" s="629"/>
      <c r="AH35" s="629"/>
      <c r="AI35" s="629"/>
      <c r="AJ35" s="629"/>
      <c r="AK35" s="629"/>
      <c r="AL35" s="629"/>
      <c r="AM35" s="538"/>
      <c r="AN35" s="36"/>
    </row>
    <row r="36" spans="1:40" ht="15.75" customHeight="1">
      <c r="A36" s="36"/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36"/>
    </row>
    <row r="37" spans="1:59" ht="15" customHeight="1">
      <c r="A37" s="36"/>
      <c r="B37" s="528"/>
      <c r="C37" s="528"/>
      <c r="D37" s="632" t="s">
        <v>31</v>
      </c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528"/>
      <c r="Z37" s="632" t="s">
        <v>32</v>
      </c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  <c r="AK37" s="632"/>
      <c r="AL37" s="632"/>
      <c r="AM37" s="539"/>
      <c r="AN37" s="36"/>
      <c r="BB37" s="527" t="s">
        <v>171</v>
      </c>
      <c r="BC37" s="543" t="s">
        <v>172</v>
      </c>
      <c r="BD37" s="543"/>
      <c r="BE37" s="543"/>
      <c r="BF37" s="543"/>
      <c r="BG37" s="543"/>
    </row>
    <row r="38" spans="1:59" ht="15.75">
      <c r="A38" s="36"/>
      <c r="B38" s="528"/>
      <c r="C38" s="528"/>
      <c r="D38" s="633" t="s">
        <v>33</v>
      </c>
      <c r="E38" s="633"/>
      <c r="F38" s="633"/>
      <c r="G38" s="633"/>
      <c r="H38" s="633"/>
      <c r="I38" s="633"/>
      <c r="J38" s="633"/>
      <c r="K38" s="633"/>
      <c r="L38" s="633"/>
      <c r="M38" s="633"/>
      <c r="N38" s="633"/>
      <c r="O38" s="633" t="s">
        <v>34</v>
      </c>
      <c r="P38" s="633"/>
      <c r="Q38" s="633"/>
      <c r="R38" s="633"/>
      <c r="S38" s="633"/>
      <c r="T38" s="633" t="s">
        <v>35</v>
      </c>
      <c r="U38" s="633"/>
      <c r="V38" s="633"/>
      <c r="W38" s="633"/>
      <c r="X38" s="633"/>
      <c r="Y38" s="540"/>
      <c r="Z38" s="633" t="s">
        <v>36</v>
      </c>
      <c r="AA38" s="633"/>
      <c r="AB38" s="633"/>
      <c r="AC38" s="633"/>
      <c r="AD38" s="633"/>
      <c r="AE38" s="633"/>
      <c r="AF38" s="633" t="s">
        <v>37</v>
      </c>
      <c r="AG38" s="633"/>
      <c r="AH38" s="633"/>
      <c r="AI38" s="633"/>
      <c r="AJ38" s="633"/>
      <c r="AK38" s="633"/>
      <c r="AL38" s="633"/>
      <c r="AM38" s="144"/>
      <c r="AN38" s="541" t="s">
        <v>423</v>
      </c>
      <c r="BC38" s="543"/>
      <c r="BD38" s="543"/>
      <c r="BE38" s="543"/>
      <c r="BF38" s="543"/>
      <c r="BG38" s="543"/>
    </row>
    <row r="39" spans="1:59" ht="24.75" customHeight="1">
      <c r="A39" s="36"/>
      <c r="B39" s="528"/>
      <c r="C39" s="542">
        <v>1</v>
      </c>
      <c r="D39" s="634"/>
      <c r="E39" s="634"/>
      <c r="F39" s="634"/>
      <c r="G39" s="634"/>
      <c r="H39" s="634"/>
      <c r="I39" s="634"/>
      <c r="J39" s="634"/>
      <c r="K39" s="634"/>
      <c r="L39" s="634"/>
      <c r="M39" s="634"/>
      <c r="N39" s="634"/>
      <c r="O39" s="635"/>
      <c r="P39" s="635"/>
      <c r="Q39" s="635"/>
      <c r="R39" s="635"/>
      <c r="S39" s="635"/>
      <c r="T39" s="636"/>
      <c r="U39" s="636"/>
      <c r="V39" s="636"/>
      <c r="W39" s="636"/>
      <c r="X39" s="636"/>
      <c r="Y39" s="528"/>
      <c r="Z39" s="637"/>
      <c r="AA39" s="637"/>
      <c r="AB39" s="637"/>
      <c r="AC39" s="637"/>
      <c r="AD39" s="637"/>
      <c r="AE39" s="637"/>
      <c r="AF39" s="637"/>
      <c r="AG39" s="637"/>
      <c r="AH39" s="637"/>
      <c r="AI39" s="637"/>
      <c r="AJ39" s="637"/>
      <c r="AK39" s="637"/>
      <c r="AL39" s="637"/>
      <c r="AM39" s="138"/>
      <c r="AN39" s="548"/>
      <c r="BB39" s="527"/>
      <c r="BC39" s="543"/>
      <c r="BD39" s="543"/>
      <c r="BE39" s="543"/>
      <c r="BF39" s="543"/>
      <c r="BG39" s="543"/>
    </row>
    <row r="40" spans="1:59" ht="24.75" customHeight="1">
      <c r="A40" s="36"/>
      <c r="B40" s="528"/>
      <c r="C40" s="542">
        <v>2</v>
      </c>
      <c r="D40" s="634"/>
      <c r="E40" s="634"/>
      <c r="F40" s="634"/>
      <c r="G40" s="634"/>
      <c r="H40" s="634"/>
      <c r="I40" s="634"/>
      <c r="J40" s="634"/>
      <c r="K40" s="634"/>
      <c r="L40" s="634"/>
      <c r="M40" s="634"/>
      <c r="N40" s="634"/>
      <c r="O40" s="635"/>
      <c r="P40" s="635"/>
      <c r="Q40" s="635"/>
      <c r="R40" s="635"/>
      <c r="S40" s="635"/>
      <c r="T40" s="636"/>
      <c r="U40" s="636"/>
      <c r="V40" s="636"/>
      <c r="W40" s="636"/>
      <c r="X40" s="636"/>
      <c r="Y40" s="528"/>
      <c r="Z40" s="637"/>
      <c r="AA40" s="637"/>
      <c r="AB40" s="637"/>
      <c r="AC40" s="637"/>
      <c r="AD40" s="637"/>
      <c r="AE40" s="637"/>
      <c r="AF40" s="637"/>
      <c r="AG40" s="637"/>
      <c r="AH40" s="637"/>
      <c r="AI40" s="637"/>
      <c r="AJ40" s="637"/>
      <c r="AK40" s="637"/>
      <c r="AL40" s="637"/>
      <c r="AM40" s="138"/>
      <c r="AN40" s="548"/>
      <c r="BB40" s="527"/>
      <c r="BC40" s="543"/>
      <c r="BD40" s="543"/>
      <c r="BE40" s="543"/>
      <c r="BF40" s="543"/>
      <c r="BG40" s="543"/>
    </row>
    <row r="41" spans="1:59" ht="24.75" customHeight="1">
      <c r="A41" s="36"/>
      <c r="B41" s="528"/>
      <c r="C41" s="542">
        <v>3</v>
      </c>
      <c r="D41" s="634"/>
      <c r="E41" s="634"/>
      <c r="F41" s="634"/>
      <c r="G41" s="634"/>
      <c r="H41" s="634"/>
      <c r="I41" s="634"/>
      <c r="J41" s="634"/>
      <c r="K41" s="634"/>
      <c r="L41" s="634"/>
      <c r="M41" s="634"/>
      <c r="N41" s="634"/>
      <c r="O41" s="635"/>
      <c r="P41" s="635"/>
      <c r="Q41" s="635"/>
      <c r="R41" s="635"/>
      <c r="S41" s="635"/>
      <c r="T41" s="636"/>
      <c r="U41" s="636"/>
      <c r="V41" s="636"/>
      <c r="W41" s="636"/>
      <c r="X41" s="636"/>
      <c r="Y41" s="528"/>
      <c r="Z41" s="637"/>
      <c r="AA41" s="637"/>
      <c r="AB41" s="637"/>
      <c r="AC41" s="637"/>
      <c r="AD41" s="637"/>
      <c r="AE41" s="637"/>
      <c r="AF41" s="637"/>
      <c r="AG41" s="637"/>
      <c r="AH41" s="637"/>
      <c r="AI41" s="637"/>
      <c r="AJ41" s="637"/>
      <c r="AK41" s="637"/>
      <c r="AL41" s="637"/>
      <c r="AM41" s="138"/>
      <c r="AN41" s="548"/>
      <c r="BB41" s="527"/>
      <c r="BC41" s="543"/>
      <c r="BD41" s="543"/>
      <c r="BE41" s="543"/>
      <c r="BF41" s="543"/>
      <c r="BG41" s="543"/>
    </row>
    <row r="42" spans="1:59" ht="24.75" customHeight="1">
      <c r="A42" s="36"/>
      <c r="B42" s="528"/>
      <c r="C42" s="542">
        <v>4</v>
      </c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5"/>
      <c r="P42" s="635"/>
      <c r="Q42" s="635"/>
      <c r="R42" s="635"/>
      <c r="S42" s="635"/>
      <c r="T42" s="636"/>
      <c r="U42" s="636"/>
      <c r="V42" s="636"/>
      <c r="W42" s="636"/>
      <c r="X42" s="636"/>
      <c r="Y42" s="528"/>
      <c r="Z42" s="637"/>
      <c r="AA42" s="637"/>
      <c r="AB42" s="637"/>
      <c r="AC42" s="637"/>
      <c r="AD42" s="637"/>
      <c r="AE42" s="637"/>
      <c r="AF42" s="637"/>
      <c r="AG42" s="637"/>
      <c r="AH42" s="637"/>
      <c r="AI42" s="637"/>
      <c r="AJ42" s="637"/>
      <c r="AK42" s="637"/>
      <c r="AL42" s="637"/>
      <c r="AM42" s="138"/>
      <c r="AN42" s="548"/>
      <c r="BB42" s="527"/>
      <c r="BC42" s="543"/>
      <c r="BD42" s="543"/>
      <c r="BE42" s="543"/>
      <c r="BF42" s="543"/>
      <c r="BG42" s="543"/>
    </row>
    <row r="43" spans="1:59" ht="24.75" customHeight="1">
      <c r="A43" s="36"/>
      <c r="B43" s="528"/>
      <c r="C43" s="542">
        <v>5</v>
      </c>
      <c r="D43" s="634"/>
      <c r="E43" s="634"/>
      <c r="F43" s="634"/>
      <c r="G43" s="634"/>
      <c r="H43" s="634"/>
      <c r="I43" s="634"/>
      <c r="J43" s="634"/>
      <c r="K43" s="634"/>
      <c r="L43" s="634"/>
      <c r="M43" s="634"/>
      <c r="N43" s="634"/>
      <c r="O43" s="635"/>
      <c r="P43" s="635"/>
      <c r="Q43" s="635"/>
      <c r="R43" s="635"/>
      <c r="S43" s="635"/>
      <c r="T43" s="636"/>
      <c r="U43" s="636"/>
      <c r="V43" s="636"/>
      <c r="W43" s="636"/>
      <c r="X43" s="636"/>
      <c r="Y43" s="528"/>
      <c r="Z43" s="637"/>
      <c r="AA43" s="637"/>
      <c r="AB43" s="637"/>
      <c r="AC43" s="637"/>
      <c r="AD43" s="637"/>
      <c r="AE43" s="637"/>
      <c r="AF43" s="637"/>
      <c r="AG43" s="637"/>
      <c r="AH43" s="637"/>
      <c r="AI43" s="637"/>
      <c r="AJ43" s="637"/>
      <c r="AK43" s="637"/>
      <c r="AL43" s="637"/>
      <c r="AM43" s="138"/>
      <c r="AN43" s="548"/>
      <c r="BB43" s="527"/>
      <c r="BC43" s="543"/>
      <c r="BD43" s="543"/>
      <c r="BE43" s="543"/>
      <c r="BF43" s="543"/>
      <c r="BG43" s="543"/>
    </row>
    <row r="44" spans="1:59" ht="24.75" customHeight="1">
      <c r="A44" s="36"/>
      <c r="B44" s="528"/>
      <c r="C44" s="542">
        <v>6</v>
      </c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4"/>
      <c r="O44" s="635"/>
      <c r="P44" s="635"/>
      <c r="Q44" s="635"/>
      <c r="R44" s="635"/>
      <c r="S44" s="635"/>
      <c r="T44" s="636"/>
      <c r="U44" s="636"/>
      <c r="V44" s="636"/>
      <c r="W44" s="636"/>
      <c r="X44" s="636"/>
      <c r="Y44" s="528"/>
      <c r="Z44" s="637"/>
      <c r="AA44" s="637"/>
      <c r="AB44" s="637"/>
      <c r="AC44" s="637"/>
      <c r="AD44" s="637"/>
      <c r="AE44" s="637"/>
      <c r="AF44" s="637"/>
      <c r="AG44" s="637"/>
      <c r="AH44" s="637"/>
      <c r="AI44" s="637"/>
      <c r="AJ44" s="637"/>
      <c r="AK44" s="637"/>
      <c r="AL44" s="637"/>
      <c r="AM44" s="138"/>
      <c r="AN44" s="548"/>
      <c r="BB44" s="527"/>
      <c r="BC44" s="543"/>
      <c r="BD44" s="543"/>
      <c r="BE44" s="543"/>
      <c r="BF44" s="543"/>
      <c r="BG44" s="543"/>
    </row>
    <row r="45" spans="1:59" ht="24.75" customHeight="1">
      <c r="A45" s="36"/>
      <c r="B45" s="528"/>
      <c r="C45" s="542">
        <v>7</v>
      </c>
      <c r="D45" s="634"/>
      <c r="E45" s="634"/>
      <c r="F45" s="634"/>
      <c r="G45" s="634"/>
      <c r="H45" s="634"/>
      <c r="I45" s="634"/>
      <c r="J45" s="634"/>
      <c r="K45" s="634"/>
      <c r="L45" s="634"/>
      <c r="M45" s="634"/>
      <c r="N45" s="634"/>
      <c r="O45" s="635"/>
      <c r="P45" s="635"/>
      <c r="Q45" s="635"/>
      <c r="R45" s="635"/>
      <c r="S45" s="635"/>
      <c r="T45" s="636"/>
      <c r="U45" s="636"/>
      <c r="V45" s="636"/>
      <c r="W45" s="636"/>
      <c r="X45" s="636"/>
      <c r="Y45" s="528"/>
      <c r="Z45" s="637"/>
      <c r="AA45" s="637"/>
      <c r="AB45" s="637"/>
      <c r="AC45" s="637"/>
      <c r="AD45" s="637"/>
      <c r="AE45" s="637"/>
      <c r="AF45" s="637"/>
      <c r="AG45" s="637"/>
      <c r="AH45" s="637"/>
      <c r="AI45" s="637"/>
      <c r="AJ45" s="637"/>
      <c r="AK45" s="637"/>
      <c r="AL45" s="637"/>
      <c r="AM45" s="138"/>
      <c r="AN45" s="548"/>
      <c r="BB45" s="527"/>
      <c r="BC45" s="543"/>
      <c r="BD45" s="543"/>
      <c r="BE45" s="543"/>
      <c r="BF45" s="543"/>
      <c r="BG45" s="543"/>
    </row>
    <row r="46" spans="1:40" ht="15.75" customHeight="1">
      <c r="A46" s="36"/>
      <c r="B46" s="528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6"/>
      <c r="AN46" s="36"/>
    </row>
    <row r="47" spans="1:40" ht="15" customHeight="1">
      <c r="A47" s="36"/>
      <c r="B47" s="528"/>
      <c r="C47" s="528"/>
      <c r="D47" s="528"/>
      <c r="E47" s="528"/>
      <c r="F47" s="528"/>
      <c r="G47" s="528"/>
      <c r="H47" s="528"/>
      <c r="I47" s="528"/>
      <c r="J47" s="528"/>
      <c r="K47" s="528"/>
      <c r="L47" s="528"/>
      <c r="M47" s="528"/>
      <c r="N47" s="528"/>
      <c r="O47" s="528"/>
      <c r="P47" s="528"/>
      <c r="Q47" s="528"/>
      <c r="R47" s="528"/>
      <c r="S47" s="528"/>
      <c r="T47" s="528"/>
      <c r="U47" s="528"/>
      <c r="V47" s="528"/>
      <c r="W47" s="528"/>
      <c r="X47" s="528"/>
      <c r="Y47" s="528"/>
      <c r="Z47" s="528"/>
      <c r="AA47" s="528"/>
      <c r="AB47" s="528"/>
      <c r="AC47" s="528"/>
      <c r="AD47" s="528"/>
      <c r="AE47" s="528"/>
      <c r="AF47" s="528"/>
      <c r="AG47" s="528"/>
      <c r="AH47" s="528"/>
      <c r="AI47" s="528"/>
      <c r="AJ47" s="528"/>
      <c r="AK47" s="528"/>
      <c r="AL47" s="528"/>
      <c r="AM47" s="528"/>
      <c r="AN47" s="36"/>
    </row>
    <row r="48" spans="1:40" ht="1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545"/>
      <c r="AE48" s="36"/>
      <c r="AF48" s="36"/>
      <c r="AG48" s="546"/>
      <c r="AH48" s="547" t="s">
        <v>437</v>
      </c>
      <c r="AI48" s="548"/>
      <c r="AJ48" s="36"/>
      <c r="AK48" s="36"/>
      <c r="AL48" s="36"/>
      <c r="AM48" s="36"/>
      <c r="AN48" s="36"/>
    </row>
  </sheetData>
  <sheetProtection password="C661" sheet="1" objects="1" scenarios="1" selectLockedCells="1"/>
  <mergeCells count="109">
    <mergeCell ref="D45:N45"/>
    <mergeCell ref="O45:S45"/>
    <mergeCell ref="T45:X45"/>
    <mergeCell ref="Z45:AE45"/>
    <mergeCell ref="AF45:AL45"/>
    <mergeCell ref="D43:N43"/>
    <mergeCell ref="O43:S43"/>
    <mergeCell ref="T43:X43"/>
    <mergeCell ref="Z43:AE43"/>
    <mergeCell ref="AF43:AL43"/>
    <mergeCell ref="D44:N44"/>
    <mergeCell ref="O44:S44"/>
    <mergeCell ref="T44:X44"/>
    <mergeCell ref="Z44:AE44"/>
    <mergeCell ref="AF44:AL44"/>
    <mergeCell ref="D41:N41"/>
    <mergeCell ref="O41:S41"/>
    <mergeCell ref="T41:X41"/>
    <mergeCell ref="Z41:AE41"/>
    <mergeCell ref="AF41:AL41"/>
    <mergeCell ref="D42:N42"/>
    <mergeCell ref="O42:S42"/>
    <mergeCell ref="T42:X42"/>
    <mergeCell ref="Z42:AE42"/>
    <mergeCell ref="AF42:AL42"/>
    <mergeCell ref="D39:N39"/>
    <mergeCell ref="O39:S39"/>
    <mergeCell ref="T39:X39"/>
    <mergeCell ref="Z39:AE39"/>
    <mergeCell ref="AF39:AL39"/>
    <mergeCell ref="D40:N40"/>
    <mergeCell ref="O40:S40"/>
    <mergeCell ref="T40:X40"/>
    <mergeCell ref="Z40:AE40"/>
    <mergeCell ref="AF40:AL40"/>
    <mergeCell ref="C26:N26"/>
    <mergeCell ref="P26:V26"/>
    <mergeCell ref="Y26:AD26"/>
    <mergeCell ref="C28:N28"/>
    <mergeCell ref="P28:V28"/>
    <mergeCell ref="Y28:AD28"/>
    <mergeCell ref="D37:X37"/>
    <mergeCell ref="Z37:AL37"/>
    <mergeCell ref="D38:N38"/>
    <mergeCell ref="O38:S38"/>
    <mergeCell ref="T38:X38"/>
    <mergeCell ref="Z38:AE38"/>
    <mergeCell ref="AF38:AL38"/>
    <mergeCell ref="Y30:AD30"/>
    <mergeCell ref="Y32:AD32"/>
    <mergeCell ref="C34:I34"/>
    <mergeCell ref="J34:N34"/>
    <mergeCell ref="O34:P35"/>
    <mergeCell ref="Q34:AL35"/>
    <mergeCell ref="C35:I35"/>
    <mergeCell ref="J35:N35"/>
    <mergeCell ref="C22:N22"/>
    <mergeCell ref="P22:V22"/>
    <mergeCell ref="C24:N24"/>
    <mergeCell ref="P24:V24"/>
    <mergeCell ref="W24:X24"/>
    <mergeCell ref="Y24:AD24"/>
    <mergeCell ref="AG13:AL13"/>
    <mergeCell ref="C16:N16"/>
    <mergeCell ref="P16:V16"/>
    <mergeCell ref="C18:N18"/>
    <mergeCell ref="P18:V18"/>
    <mergeCell ref="C20:N20"/>
    <mergeCell ref="P20:V20"/>
    <mergeCell ref="C13:E13"/>
    <mergeCell ref="F13:M13"/>
    <mergeCell ref="O13:P13"/>
    <mergeCell ref="Q13:S13"/>
    <mergeCell ref="U13:AA13"/>
    <mergeCell ref="AB13:AF13"/>
    <mergeCell ref="C11:M11"/>
    <mergeCell ref="O11:S11"/>
    <mergeCell ref="U11:AA11"/>
    <mergeCell ref="AB11:AL11"/>
    <mergeCell ref="C12:E12"/>
    <mergeCell ref="F12:M12"/>
    <mergeCell ref="O12:P12"/>
    <mergeCell ref="Q12:S12"/>
    <mergeCell ref="U12:AA12"/>
    <mergeCell ref="AB12:AL12"/>
    <mergeCell ref="F8:K8"/>
    <mergeCell ref="F9:K9"/>
    <mergeCell ref="AF30:AK30"/>
    <mergeCell ref="AF28:AK28"/>
    <mergeCell ref="AF26:AK26"/>
    <mergeCell ref="AF24:AK24"/>
    <mergeCell ref="L9:M9"/>
    <mergeCell ref="AF32:AK32"/>
    <mergeCell ref="C4:AG5"/>
    <mergeCell ref="AH4:AL4"/>
    <mergeCell ref="AH5:AL5"/>
    <mergeCell ref="C7:M7"/>
    <mergeCell ref="O7:S7"/>
    <mergeCell ref="U7:AA7"/>
    <mergeCell ref="AB7:AL7"/>
    <mergeCell ref="AB8:AL8"/>
    <mergeCell ref="C9:E9"/>
    <mergeCell ref="P9:S9"/>
    <mergeCell ref="U9:AA9"/>
    <mergeCell ref="AB9:AL9"/>
    <mergeCell ref="C8:E8"/>
    <mergeCell ref="L8:M8"/>
    <mergeCell ref="P8:S8"/>
    <mergeCell ref="U8:AA8"/>
  </mergeCells>
  <conditionalFormatting sqref="D39:X39">
    <cfRule type="expression" priority="6" dxfId="19">
      <formula>IF($AN39="x",1,0)</formula>
    </cfRule>
  </conditionalFormatting>
  <conditionalFormatting sqref="D40:X45">
    <cfRule type="expression" priority="4" dxfId="19">
      <formula>IF($AN40="x",1,0)</formula>
    </cfRule>
  </conditionalFormatting>
  <conditionalFormatting sqref="F8:M9 F12:M13 P8:S9 Q12:S13 AB7:AL9 AB11:AL13 P16:V28 AF24:AL32 J34:N35 D39:X45">
    <cfRule type="expression" priority="2" dxfId="20">
      <formula>IF($AI$48="x",1,0)</formula>
    </cfRule>
  </conditionalFormatting>
  <conditionalFormatting sqref="D39:X45">
    <cfRule type="expression" priority="1" dxfId="21">
      <formula>IF($AI$48="x",1,0)</formula>
    </cfRule>
  </conditionalFormatting>
  <dataValidations count="2">
    <dataValidation type="decimal" allowBlank="1" showInputMessage="1" showErrorMessage="1" sqref="I9:K9">
      <formula1>0</formula1>
      <formula2>59.99</formula2>
    </dataValidation>
    <dataValidation type="list" allowBlank="1" showInputMessage="1" showErrorMessage="1" sqref="Q13:S13">
      <formula1>"AM,PM"</formula1>
    </dataValidation>
  </dataValidations>
  <printOptions/>
  <pageMargins left="0.7874015748031497" right="0.1968503937007874" top="0.7874015748031497" bottom="0.5905511811023623" header="0.5118110236220472" footer="0.5118110236220472"/>
  <pageSetup orientation="portrait" paperSize="9" scale="95"/>
  <headerFooter alignWithMargins="0">
    <oddHeader>&amp;L&amp;"Cambria Math,Fett"&amp;14&amp;K000000LPG "PAZAFIK"</oddHeader>
  </headerFooter>
  <colBreaks count="1" manualBreakCount="1">
    <brk id="39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V38"/>
  <sheetViews>
    <sheetView zoomScalePageLayoutView="0" workbookViewId="0" topLeftCell="A1">
      <selection activeCell="E37" sqref="E37"/>
    </sheetView>
  </sheetViews>
  <sheetFormatPr defaultColWidth="0" defaultRowHeight="15.75" zeroHeight="1"/>
  <cols>
    <col min="1" max="1" width="1.4921875" style="202" customWidth="1"/>
    <col min="2" max="2" width="4.375" style="202" customWidth="1"/>
    <col min="3" max="3" width="5.00390625" style="202" customWidth="1"/>
    <col min="4" max="21" width="6.375" style="202" customWidth="1"/>
    <col min="22" max="22" width="1.4921875" style="202" customWidth="1"/>
    <col min="23" max="16384" width="10.875" style="202" hidden="1" customWidth="1"/>
  </cols>
  <sheetData>
    <row r="1" spans="1:3" s="310" customFormat="1" ht="9" customHeight="1">
      <c r="A1" s="202"/>
      <c r="B1" s="202"/>
      <c r="C1" s="202"/>
    </row>
    <row r="2" spans="1:22" ht="21">
      <c r="A2" s="310"/>
      <c r="B2" s="918" t="s">
        <v>388</v>
      </c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310"/>
    </row>
    <row r="3" spans="1:22" ht="15.75">
      <c r="A3" s="310"/>
      <c r="B3" s="963" t="s">
        <v>395</v>
      </c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3"/>
      <c r="T3" s="963"/>
      <c r="U3" s="963"/>
      <c r="V3" s="310"/>
    </row>
    <row r="4" spans="1:22" ht="15.75">
      <c r="A4" s="310"/>
      <c r="B4" s="963" t="s">
        <v>393</v>
      </c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963"/>
      <c r="V4" s="310"/>
    </row>
    <row r="5" spans="1:22" ht="16.5" thickBot="1">
      <c r="A5" s="310"/>
      <c r="B5" s="962" t="s">
        <v>389</v>
      </c>
      <c r="C5" s="962"/>
      <c r="D5" s="962"/>
      <c r="E5" s="962"/>
      <c r="F5" s="962"/>
      <c r="G5" s="962"/>
      <c r="H5" s="962"/>
      <c r="I5" s="962"/>
      <c r="J5" s="962"/>
      <c r="K5" s="962"/>
      <c r="L5" s="962"/>
      <c r="M5" s="962"/>
      <c r="N5" s="962"/>
      <c r="O5" s="962"/>
      <c r="P5" s="962"/>
      <c r="Q5" s="962"/>
      <c r="R5" s="962"/>
      <c r="S5" s="962"/>
      <c r="T5" s="962"/>
      <c r="U5" s="962"/>
      <c r="V5" s="310"/>
    </row>
    <row r="6" spans="1:22" ht="15.75">
      <c r="A6" s="310"/>
      <c r="B6" s="964" t="s">
        <v>358</v>
      </c>
      <c r="C6" s="965"/>
      <c r="D6" s="410">
        <v>2</v>
      </c>
      <c r="E6" s="410">
        <v>4</v>
      </c>
      <c r="F6" s="410">
        <v>6</v>
      </c>
      <c r="G6" s="410">
        <v>8</v>
      </c>
      <c r="H6" s="410">
        <v>10</v>
      </c>
      <c r="I6" s="410">
        <v>12</v>
      </c>
      <c r="J6" s="410">
        <v>14</v>
      </c>
      <c r="K6" s="410">
        <v>16</v>
      </c>
      <c r="L6" s="410">
        <v>18</v>
      </c>
      <c r="M6" s="410">
        <v>20</v>
      </c>
      <c r="N6" s="410">
        <v>22</v>
      </c>
      <c r="O6" s="410">
        <v>24</v>
      </c>
      <c r="P6" s="410">
        <v>26</v>
      </c>
      <c r="Q6" s="410">
        <v>28</v>
      </c>
      <c r="R6" s="410">
        <v>30</v>
      </c>
      <c r="S6" s="410">
        <v>32</v>
      </c>
      <c r="T6" s="410">
        <v>34</v>
      </c>
      <c r="U6" s="411">
        <v>36</v>
      </c>
      <c r="V6" s="310"/>
    </row>
    <row r="7" spans="1:22" ht="15.75">
      <c r="A7" s="310"/>
      <c r="B7" s="959" t="s">
        <v>390</v>
      </c>
      <c r="C7" s="412">
        <v>5</v>
      </c>
      <c r="D7" s="413">
        <v>12.389097965302263</v>
      </c>
      <c r="E7" s="413">
        <v>13.418910522650362</v>
      </c>
      <c r="F7" s="413">
        <v>14.209113490463189</v>
      </c>
      <c r="G7" s="413">
        <v>14.875285407954165</v>
      </c>
      <c r="H7" s="413">
        <v>15.462194649226372</v>
      </c>
      <c r="I7" s="413">
        <v>15.992801162062534</v>
      </c>
      <c r="J7" s="413">
        <v>16.48074420859895</v>
      </c>
      <c r="K7" s="413">
        <v>16.934910522650362</v>
      </c>
      <c r="L7" s="413">
        <v>17.361472850606063</v>
      </c>
      <c r="M7" s="413">
        <v>17.764925531539625</v>
      </c>
      <c r="N7" s="413">
        <v>18.148661428419953</v>
      </c>
      <c r="O7" s="413">
        <v>18.51531645827602</v>
      </c>
      <c r="P7" s="413">
        <v>18.866986827546476</v>
      </c>
      <c r="Q7" s="413">
        <v>19.205372132353464</v>
      </c>
      <c r="R7" s="413">
        <v>19.531873083591183</v>
      </c>
      <c r="S7" s="413">
        <v>19.847660293257967</v>
      </c>
      <c r="T7" s="413">
        <v>20.1537239537884</v>
      </c>
      <c r="U7" s="414">
        <v>20.45091052265036</v>
      </c>
      <c r="V7" s="310"/>
    </row>
    <row r="8" spans="1:22" ht="15.75">
      <c r="A8" s="310"/>
      <c r="B8" s="960"/>
      <c r="C8" s="415">
        <v>6</v>
      </c>
      <c r="D8" s="416">
        <v>11.012102469476655</v>
      </c>
      <c r="E8" s="416">
        <v>12.041915026824753</v>
      </c>
      <c r="F8" s="416">
        <v>12.832117994637581</v>
      </c>
      <c r="G8" s="416">
        <v>13.498289912128556</v>
      </c>
      <c r="H8" s="416">
        <v>14.085199153400765</v>
      </c>
      <c r="I8" s="416">
        <v>14.615805666236927</v>
      </c>
      <c r="J8" s="416">
        <v>15.103748712773342</v>
      </c>
      <c r="K8" s="416">
        <v>15.557915026824753</v>
      </c>
      <c r="L8" s="416">
        <v>15.984477354780456</v>
      </c>
      <c r="M8" s="416">
        <v>16.387930035714014</v>
      </c>
      <c r="N8" s="416">
        <v>16.771665932594345</v>
      </c>
      <c r="O8" s="416">
        <v>17.138320962450408</v>
      </c>
      <c r="P8" s="416">
        <v>17.48999133172087</v>
      </c>
      <c r="Q8" s="416">
        <v>17.828376636527857</v>
      </c>
      <c r="R8" s="416">
        <v>18.154877587765576</v>
      </c>
      <c r="S8" s="416">
        <v>18.470664797432356</v>
      </c>
      <c r="T8" s="416">
        <v>18.77672845796279</v>
      </c>
      <c r="U8" s="417">
        <v>19.073915026824753</v>
      </c>
      <c r="V8" s="310"/>
    </row>
    <row r="9" spans="1:22" ht="15.75">
      <c r="A9" s="310"/>
      <c r="B9" s="960"/>
      <c r="C9" s="415">
        <v>7</v>
      </c>
      <c r="D9" s="416">
        <v>9.954829544123356</v>
      </c>
      <c r="E9" s="416">
        <v>10.984642101471456</v>
      </c>
      <c r="F9" s="416">
        <v>11.774845069284282</v>
      </c>
      <c r="G9" s="416">
        <v>12.441016986775258</v>
      </c>
      <c r="H9" s="416">
        <v>13.027926228047466</v>
      </c>
      <c r="I9" s="416">
        <v>13.558532740883628</v>
      </c>
      <c r="J9" s="416">
        <v>14.046475787420045</v>
      </c>
      <c r="K9" s="416">
        <v>14.500642101471456</v>
      </c>
      <c r="L9" s="416">
        <v>14.927204429427158</v>
      </c>
      <c r="M9" s="416">
        <v>15.330657110360718</v>
      </c>
      <c r="N9" s="416">
        <v>15.714393007241046</v>
      </c>
      <c r="O9" s="416">
        <v>16.081048037097112</v>
      </c>
      <c r="P9" s="416">
        <v>16.43271840636757</v>
      </c>
      <c r="Q9" s="416">
        <v>16.771103711174558</v>
      </c>
      <c r="R9" s="416">
        <v>17.097604662412277</v>
      </c>
      <c r="S9" s="416">
        <v>17.41339187207906</v>
      </c>
      <c r="T9" s="416">
        <v>17.719455532609494</v>
      </c>
      <c r="U9" s="417">
        <v>18.016642101471454</v>
      </c>
      <c r="V9" s="310"/>
    </row>
    <row r="10" spans="1:22" ht="15.75">
      <c r="A10" s="310"/>
      <c r="B10" s="960"/>
      <c r="C10" s="415">
        <v>8</v>
      </c>
      <c r="D10" s="416">
        <v>9.119812964010256</v>
      </c>
      <c r="E10" s="416">
        <v>10.149625521358356</v>
      </c>
      <c r="F10" s="416">
        <v>10.939828489171182</v>
      </c>
      <c r="G10" s="416">
        <v>11.606000406662158</v>
      </c>
      <c r="H10" s="416">
        <v>12.192909647934366</v>
      </c>
      <c r="I10" s="416">
        <v>12.723516160770528</v>
      </c>
      <c r="J10" s="416">
        <v>13.211459207306945</v>
      </c>
      <c r="K10" s="416">
        <v>13.665625521358354</v>
      </c>
      <c r="L10" s="416">
        <v>14.092187849314058</v>
      </c>
      <c r="M10" s="416">
        <v>14.495640530247616</v>
      </c>
      <c r="N10" s="416">
        <v>14.879376427127944</v>
      </c>
      <c r="O10" s="416">
        <v>15.24603145698401</v>
      </c>
      <c r="P10" s="416">
        <v>15.597701826254472</v>
      </c>
      <c r="Q10" s="416">
        <v>15.936087131061456</v>
      </c>
      <c r="R10" s="416">
        <v>16.262588082299175</v>
      </c>
      <c r="S10" s="416">
        <v>16.57837529196596</v>
      </c>
      <c r="T10" s="416">
        <v>16.884438952496392</v>
      </c>
      <c r="U10" s="417">
        <v>17.181625521358356</v>
      </c>
      <c r="V10" s="310"/>
    </row>
    <row r="11" spans="1:22" ht="15.75">
      <c r="A11" s="310"/>
      <c r="B11" s="960"/>
      <c r="C11" s="415">
        <v>9</v>
      </c>
      <c r="D11" s="416">
        <v>8.444816620613782</v>
      </c>
      <c r="E11" s="416">
        <v>9.47462917796188</v>
      </c>
      <c r="F11" s="416">
        <v>10.264832145774708</v>
      </c>
      <c r="G11" s="416">
        <v>10.931004063265682</v>
      </c>
      <c r="H11" s="416">
        <v>11.517913304537892</v>
      </c>
      <c r="I11" s="416">
        <v>12.048519817374054</v>
      </c>
      <c r="J11" s="416">
        <v>12.536462863910469</v>
      </c>
      <c r="K11" s="416">
        <v>12.990629177961882</v>
      </c>
      <c r="L11" s="416">
        <v>13.417191505917582</v>
      </c>
      <c r="M11" s="416">
        <v>13.820644186851142</v>
      </c>
      <c r="N11" s="416">
        <v>14.204380083731472</v>
      </c>
      <c r="O11" s="416">
        <v>14.571035113587534</v>
      </c>
      <c r="P11" s="416">
        <v>14.922705482857996</v>
      </c>
      <c r="Q11" s="416">
        <v>15.261090787664983</v>
      </c>
      <c r="R11" s="416">
        <v>15.587591738902702</v>
      </c>
      <c r="S11" s="416">
        <v>15.903378948569486</v>
      </c>
      <c r="T11" s="416">
        <v>16.20944260909992</v>
      </c>
      <c r="U11" s="417">
        <v>16.50662917796188</v>
      </c>
      <c r="V11" s="310"/>
    </row>
    <row r="12" spans="1:22" ht="18.75" customHeight="1">
      <c r="A12" s="310"/>
      <c r="B12" s="960"/>
      <c r="C12" s="415">
        <v>10</v>
      </c>
      <c r="D12" s="416">
        <v>7.888475921161512</v>
      </c>
      <c r="E12" s="416">
        <v>8.918288478509611</v>
      </c>
      <c r="F12" s="416">
        <v>9.708491446322437</v>
      </c>
      <c r="G12" s="416">
        <v>10.374663363813413</v>
      </c>
      <c r="H12" s="416">
        <v>10.961572605085621</v>
      </c>
      <c r="I12" s="416">
        <v>11.492179117921783</v>
      </c>
      <c r="J12" s="416">
        <v>11.9801221644582</v>
      </c>
      <c r="K12" s="416">
        <v>12.434288478509611</v>
      </c>
      <c r="L12" s="416">
        <v>12.860850806465313</v>
      </c>
      <c r="M12" s="416">
        <v>13.264303487398873</v>
      </c>
      <c r="N12" s="416">
        <v>13.648039384279201</v>
      </c>
      <c r="O12" s="416">
        <v>14.014694414135265</v>
      </c>
      <c r="P12" s="416">
        <v>14.366364783405727</v>
      </c>
      <c r="Q12" s="416">
        <v>14.704750088212712</v>
      </c>
      <c r="R12" s="416">
        <v>15.031251039450432</v>
      </c>
      <c r="S12" s="416">
        <v>15.347038249117215</v>
      </c>
      <c r="T12" s="416">
        <v>15.65310190964765</v>
      </c>
      <c r="U12" s="417">
        <v>15.950288478509611</v>
      </c>
      <c r="V12" s="310"/>
    </row>
    <row r="13" spans="1:22" ht="15.75">
      <c r="A13" s="310"/>
      <c r="B13" s="960"/>
      <c r="C13" s="415">
        <v>11</v>
      </c>
      <c r="D13" s="416">
        <v>7.422341438031391</v>
      </c>
      <c r="E13" s="416">
        <v>8.45215399537949</v>
      </c>
      <c r="F13" s="416">
        <v>9.242356963192318</v>
      </c>
      <c r="G13" s="416">
        <v>9.908528880683292</v>
      </c>
      <c r="H13" s="416">
        <v>10.495438121955502</v>
      </c>
      <c r="I13" s="416">
        <v>11.026044634791663</v>
      </c>
      <c r="J13" s="416">
        <v>11.513987681328079</v>
      </c>
      <c r="K13" s="416">
        <v>11.96815399537949</v>
      </c>
      <c r="L13" s="416">
        <v>12.394716323335192</v>
      </c>
      <c r="M13" s="416">
        <v>12.79816900426875</v>
      </c>
      <c r="N13" s="416">
        <v>13.18190490114908</v>
      </c>
      <c r="O13" s="416">
        <v>13.548559931005144</v>
      </c>
      <c r="P13" s="416">
        <v>13.900230300275606</v>
      </c>
      <c r="Q13" s="416">
        <v>14.238615605082591</v>
      </c>
      <c r="R13" s="416">
        <v>14.56511655632031</v>
      </c>
      <c r="S13" s="416">
        <v>14.880903765987094</v>
      </c>
      <c r="T13" s="416">
        <v>15.186967426517528</v>
      </c>
      <c r="U13" s="417">
        <v>15.48415399537949</v>
      </c>
      <c r="V13" s="310"/>
    </row>
    <row r="14" spans="1:22" ht="15.75">
      <c r="A14" s="310"/>
      <c r="B14" s="960"/>
      <c r="C14" s="415">
        <v>12</v>
      </c>
      <c r="D14" s="416">
        <v>7.026263282554001</v>
      </c>
      <c r="E14" s="416">
        <v>8.0560758399021</v>
      </c>
      <c r="F14" s="416">
        <v>8.846278807714928</v>
      </c>
      <c r="G14" s="416">
        <v>9.512450725205902</v>
      </c>
      <c r="H14" s="416">
        <v>10.099359966478112</v>
      </c>
      <c r="I14" s="416">
        <v>10.629966479314273</v>
      </c>
      <c r="J14" s="416">
        <v>11.117909525850688</v>
      </c>
      <c r="K14" s="416">
        <v>11.5720758399021</v>
      </c>
      <c r="L14" s="416">
        <v>11.998638167857802</v>
      </c>
      <c r="M14" s="416">
        <v>12.40209084879136</v>
      </c>
      <c r="N14" s="416">
        <v>12.78582674567169</v>
      </c>
      <c r="O14" s="416">
        <v>13.152481775527754</v>
      </c>
      <c r="P14" s="416">
        <v>13.504152144798216</v>
      </c>
      <c r="Q14" s="416">
        <v>13.842537449605201</v>
      </c>
      <c r="R14" s="416">
        <v>14.16903840084292</v>
      </c>
      <c r="S14" s="416">
        <v>14.484825610509704</v>
      </c>
      <c r="T14" s="416">
        <v>14.790889271040138</v>
      </c>
      <c r="U14" s="417">
        <v>15.0880758399021</v>
      </c>
      <c r="V14" s="310"/>
    </row>
    <row r="15" spans="1:22" ht="15.75">
      <c r="A15" s="310"/>
      <c r="B15" s="960"/>
      <c r="C15" s="415">
        <v>13</v>
      </c>
      <c r="D15" s="416">
        <v>6.685602978453145</v>
      </c>
      <c r="E15" s="416">
        <v>7.715415535801244</v>
      </c>
      <c r="F15" s="416">
        <v>8.505618503614071</v>
      </c>
      <c r="G15" s="416">
        <v>9.171790421105047</v>
      </c>
      <c r="H15" s="416">
        <v>9.758699662377255</v>
      </c>
      <c r="I15" s="416">
        <v>10.289306175213417</v>
      </c>
      <c r="J15" s="416">
        <v>10.777249221749834</v>
      </c>
      <c r="K15" s="416">
        <v>11.231415535801244</v>
      </c>
      <c r="L15" s="416">
        <v>11.657977863756948</v>
      </c>
      <c r="M15" s="416">
        <v>12.061430544690506</v>
      </c>
      <c r="N15" s="416">
        <v>12.445166441570834</v>
      </c>
      <c r="O15" s="416">
        <v>12.8118214714269</v>
      </c>
      <c r="P15" s="416">
        <v>13.163491840697361</v>
      </c>
      <c r="Q15" s="416">
        <v>13.501877145504345</v>
      </c>
      <c r="R15" s="416">
        <v>13.828378096742064</v>
      </c>
      <c r="S15" s="416">
        <v>14.144165306408848</v>
      </c>
      <c r="T15" s="416">
        <v>14.450228966939282</v>
      </c>
      <c r="U15" s="417">
        <v>14.747415535801245</v>
      </c>
      <c r="V15" s="310"/>
    </row>
    <row r="16" spans="1:22" ht="15.75">
      <c r="A16" s="310"/>
      <c r="B16" s="960"/>
      <c r="C16" s="415">
        <v>14</v>
      </c>
      <c r="D16" s="416">
        <v>6.389488314042572</v>
      </c>
      <c r="E16" s="416">
        <v>7.4193008713906705</v>
      </c>
      <c r="F16" s="416">
        <v>8.209503839203498</v>
      </c>
      <c r="G16" s="416">
        <v>8.875675756694474</v>
      </c>
      <c r="H16" s="416">
        <v>9.462584997966681</v>
      </c>
      <c r="I16" s="416">
        <v>9.993191510802843</v>
      </c>
      <c r="J16" s="416">
        <v>10.48113455733926</v>
      </c>
      <c r="K16" s="416">
        <v>10.93530087139067</v>
      </c>
      <c r="L16" s="416">
        <v>11.361863199346374</v>
      </c>
      <c r="M16" s="416">
        <v>11.765315880279932</v>
      </c>
      <c r="N16" s="416">
        <v>12.14905177716026</v>
      </c>
      <c r="O16" s="416">
        <v>12.515706807016326</v>
      </c>
      <c r="P16" s="416">
        <v>12.867377176286787</v>
      </c>
      <c r="Q16" s="416">
        <v>13.205762481093771</v>
      </c>
      <c r="R16" s="416">
        <v>13.53226343233149</v>
      </c>
      <c r="S16" s="416">
        <v>13.848050641998274</v>
      </c>
      <c r="T16" s="416">
        <v>14.154114302528708</v>
      </c>
      <c r="U16" s="417">
        <v>14.451300871390671</v>
      </c>
      <c r="V16" s="310"/>
    </row>
    <row r="17" spans="1:22" ht="18.75" customHeight="1">
      <c r="A17" s="310"/>
      <c r="B17" s="960"/>
      <c r="C17" s="415">
        <v>15</v>
      </c>
      <c r="D17" s="416">
        <v>6.129686290610831</v>
      </c>
      <c r="E17" s="416">
        <v>7.159498847958931</v>
      </c>
      <c r="F17" s="416">
        <v>7.949701815771757</v>
      </c>
      <c r="G17" s="416">
        <v>8.615873733262733</v>
      </c>
      <c r="H17" s="416">
        <v>9.20278297453494</v>
      </c>
      <c r="I17" s="416">
        <v>9.733389487371102</v>
      </c>
      <c r="J17" s="416">
        <v>10.22133253390752</v>
      </c>
      <c r="K17" s="416">
        <v>10.67549884795893</v>
      </c>
      <c r="L17" s="416">
        <v>11.102061175914633</v>
      </c>
      <c r="M17" s="416">
        <v>11.505513856848191</v>
      </c>
      <c r="N17" s="416">
        <v>11.88924975372852</v>
      </c>
      <c r="O17" s="416">
        <v>12.255904783584585</v>
      </c>
      <c r="P17" s="416">
        <v>12.607575152855047</v>
      </c>
      <c r="Q17" s="416">
        <v>12.945960457662032</v>
      </c>
      <c r="R17" s="416">
        <v>13.272461408899751</v>
      </c>
      <c r="S17" s="416">
        <v>13.588248618566535</v>
      </c>
      <c r="T17" s="416">
        <v>13.894312279096969</v>
      </c>
      <c r="U17" s="417">
        <v>14.19149884795893</v>
      </c>
      <c r="V17" s="310"/>
    </row>
    <row r="18" spans="1:22" ht="15.75">
      <c r="A18" s="310"/>
      <c r="B18" s="960"/>
      <c r="C18" s="415">
        <v>16</v>
      </c>
      <c r="D18" s="416">
        <v>5.8998548340594645</v>
      </c>
      <c r="E18" s="416">
        <v>6.9296673914075635</v>
      </c>
      <c r="F18" s="416">
        <v>7.7198703592203906</v>
      </c>
      <c r="G18" s="416">
        <v>8.386042276711365</v>
      </c>
      <c r="H18" s="416">
        <v>8.972951517983574</v>
      </c>
      <c r="I18" s="416">
        <v>9.503558030819736</v>
      </c>
      <c r="J18" s="416">
        <v>9.991501077356151</v>
      </c>
      <c r="K18" s="416">
        <v>10.445667391407564</v>
      </c>
      <c r="L18" s="416">
        <v>10.872229719363265</v>
      </c>
      <c r="M18" s="416">
        <v>11.275682400296825</v>
      </c>
      <c r="N18" s="416">
        <v>11.659418297177154</v>
      </c>
      <c r="O18" s="416">
        <v>12.026073327033217</v>
      </c>
      <c r="P18" s="416">
        <v>12.377743696303678</v>
      </c>
      <c r="Q18" s="416">
        <v>12.716129001110666</v>
      </c>
      <c r="R18" s="416">
        <v>13.042629952348385</v>
      </c>
      <c r="S18" s="416">
        <v>13.358417162015169</v>
      </c>
      <c r="T18" s="416">
        <v>13.664480822545602</v>
      </c>
      <c r="U18" s="417">
        <v>13.961667391407563</v>
      </c>
      <c r="V18" s="310"/>
    </row>
    <row r="19" spans="1:22" ht="15.75">
      <c r="A19" s="310"/>
      <c r="B19" s="960"/>
      <c r="C19" s="415">
        <v>17</v>
      </c>
      <c r="D19" s="416">
        <v>5.695033624100074</v>
      </c>
      <c r="E19" s="416">
        <v>6.724846181448173</v>
      </c>
      <c r="F19" s="416">
        <v>7.515049149261</v>
      </c>
      <c r="G19" s="416">
        <v>8.181221066751975</v>
      </c>
      <c r="H19" s="416">
        <v>8.768130308024183</v>
      </c>
      <c r="I19" s="416">
        <v>9.298736820860345</v>
      </c>
      <c r="J19" s="416">
        <v>9.786679867396762</v>
      </c>
      <c r="K19" s="416">
        <v>10.240846181448173</v>
      </c>
      <c r="L19" s="416">
        <v>10.667408509403876</v>
      </c>
      <c r="M19" s="416">
        <v>11.070861190337435</v>
      </c>
      <c r="N19" s="416">
        <v>11.454597087217763</v>
      </c>
      <c r="O19" s="416">
        <v>11.821252117073827</v>
      </c>
      <c r="P19" s="416">
        <v>12.172922486344289</v>
      </c>
      <c r="Q19" s="416">
        <v>12.511307791151275</v>
      </c>
      <c r="R19" s="416">
        <v>12.837808742388994</v>
      </c>
      <c r="S19" s="416">
        <v>13.153595952055777</v>
      </c>
      <c r="T19" s="416">
        <v>13.459659612586211</v>
      </c>
      <c r="U19" s="417">
        <v>13.756846181448173</v>
      </c>
      <c r="V19" s="310"/>
    </row>
    <row r="20" spans="1:22" ht="15.75">
      <c r="A20" s="310"/>
      <c r="B20" s="960"/>
      <c r="C20" s="415">
        <v>18</v>
      </c>
      <c r="D20" s="416">
        <v>5.511289949439082</v>
      </c>
      <c r="E20" s="416">
        <v>6.541102506787181</v>
      </c>
      <c r="F20" s="416">
        <v>7.331305474600008</v>
      </c>
      <c r="G20" s="416">
        <v>7.997477392090983</v>
      </c>
      <c r="H20" s="416">
        <v>8.584386633363192</v>
      </c>
      <c r="I20" s="416">
        <v>9.114993146199353</v>
      </c>
      <c r="J20" s="416">
        <v>9.602936192735768</v>
      </c>
      <c r="K20" s="416">
        <v>10.057102506787182</v>
      </c>
      <c r="L20" s="416">
        <v>10.483664834742882</v>
      </c>
      <c r="M20" s="416">
        <v>10.887117515676442</v>
      </c>
      <c r="N20" s="416">
        <v>11.270853412556772</v>
      </c>
      <c r="O20" s="416">
        <v>11.637508442412834</v>
      </c>
      <c r="P20" s="416">
        <v>11.989178811683296</v>
      </c>
      <c r="Q20" s="416">
        <v>12.327564116490283</v>
      </c>
      <c r="R20" s="416">
        <v>12.654065067728002</v>
      </c>
      <c r="S20" s="416">
        <v>12.969852277394786</v>
      </c>
      <c r="T20" s="416">
        <v>13.27591593792522</v>
      </c>
      <c r="U20" s="417">
        <v>13.57310250678718</v>
      </c>
      <c r="V20" s="310"/>
    </row>
    <row r="21" spans="1:22" ht="15.75">
      <c r="A21" s="310"/>
      <c r="B21" s="960"/>
      <c r="C21" s="415">
        <v>19</v>
      </c>
      <c r="D21" s="416">
        <v>5.345467496027702</v>
      </c>
      <c r="E21" s="416">
        <v>6.375280053375801</v>
      </c>
      <c r="F21" s="416">
        <v>7.165483021188628</v>
      </c>
      <c r="G21" s="416">
        <v>7.831654938679603</v>
      </c>
      <c r="H21" s="416">
        <v>8.418564179951812</v>
      </c>
      <c r="I21" s="416">
        <v>8.949170692787973</v>
      </c>
      <c r="J21" s="416">
        <v>9.437113739324388</v>
      </c>
      <c r="K21" s="416">
        <v>9.891280053375802</v>
      </c>
      <c r="L21" s="416">
        <v>10.317842381331502</v>
      </c>
      <c r="M21" s="416">
        <v>10.721295062265062</v>
      </c>
      <c r="N21" s="416">
        <v>11.105030959145392</v>
      </c>
      <c r="O21" s="416">
        <v>11.471685989001454</v>
      </c>
      <c r="P21" s="416">
        <v>11.823356358271916</v>
      </c>
      <c r="Q21" s="416">
        <v>12.161741663078903</v>
      </c>
      <c r="R21" s="416">
        <v>12.488242614316622</v>
      </c>
      <c r="S21" s="416">
        <v>12.804029823983406</v>
      </c>
      <c r="T21" s="416">
        <v>13.11009348451384</v>
      </c>
      <c r="U21" s="417">
        <v>13.4072800533758</v>
      </c>
      <c r="V21" s="310"/>
    </row>
    <row r="22" spans="1:22" ht="18.75" customHeight="1">
      <c r="A22" s="310"/>
      <c r="B22" s="960"/>
      <c r="C22" s="415">
        <v>20</v>
      </c>
      <c r="D22" s="416">
        <v>5.195004963935657</v>
      </c>
      <c r="E22" s="416">
        <v>6.2248175212837555</v>
      </c>
      <c r="F22" s="416">
        <v>7.015020489096583</v>
      </c>
      <c r="G22" s="416">
        <v>7.681192406587558</v>
      </c>
      <c r="H22" s="416">
        <v>8.268101647859766</v>
      </c>
      <c r="I22" s="416">
        <v>8.798708160695927</v>
      </c>
      <c r="J22" s="416">
        <v>9.286651207232344</v>
      </c>
      <c r="K22" s="416">
        <v>9.740817521283756</v>
      </c>
      <c r="L22" s="416">
        <v>10.167379849239458</v>
      </c>
      <c r="M22" s="416">
        <v>10.570832530173018</v>
      </c>
      <c r="N22" s="416">
        <v>10.954568427053346</v>
      </c>
      <c r="O22" s="416">
        <v>11.32122345690941</v>
      </c>
      <c r="P22" s="416">
        <v>11.672893826179871</v>
      </c>
      <c r="Q22" s="416">
        <v>12.011279130986857</v>
      </c>
      <c r="R22" s="416">
        <v>12.337780082224576</v>
      </c>
      <c r="S22" s="416">
        <v>12.65356729189136</v>
      </c>
      <c r="T22" s="416">
        <v>12.959630952421794</v>
      </c>
      <c r="U22" s="417">
        <v>13.256817521283756</v>
      </c>
      <c r="V22" s="310"/>
    </row>
    <row r="23" spans="1:22" ht="15.75">
      <c r="A23" s="310"/>
      <c r="B23" s="960"/>
      <c r="C23" s="415">
        <v>25</v>
      </c>
      <c r="D23" s="416">
        <v>4.610862207863981</v>
      </c>
      <c r="E23" s="416">
        <v>5.640674765212079</v>
      </c>
      <c r="F23" s="416">
        <v>6.430877733024907</v>
      </c>
      <c r="G23" s="416">
        <v>7.097049650515881</v>
      </c>
      <c r="H23" s="416">
        <v>7.683958891788091</v>
      </c>
      <c r="I23" s="416">
        <v>8.214565404624253</v>
      </c>
      <c r="J23" s="416">
        <v>8.702508451160668</v>
      </c>
      <c r="K23" s="416">
        <v>9.15667476521208</v>
      </c>
      <c r="L23" s="416">
        <v>9.583237093167781</v>
      </c>
      <c r="M23" s="416">
        <v>9.986689774101341</v>
      </c>
      <c r="N23" s="416">
        <v>10.37042567098167</v>
      </c>
      <c r="O23" s="416">
        <v>10.737080700837733</v>
      </c>
      <c r="P23" s="416">
        <v>11.088751070108195</v>
      </c>
      <c r="Q23" s="416">
        <v>11.42713637491518</v>
      </c>
      <c r="R23" s="416">
        <v>11.7536373261529</v>
      </c>
      <c r="S23" s="416">
        <v>12.069424535819683</v>
      </c>
      <c r="T23" s="416">
        <v>12.375488196350117</v>
      </c>
      <c r="U23" s="417">
        <v>12.67267476521208</v>
      </c>
      <c r="V23" s="310"/>
    </row>
    <row r="24" spans="1:22" ht="15.75">
      <c r="A24" s="310"/>
      <c r="B24" s="960"/>
      <c r="C24" s="415">
        <v>30</v>
      </c>
      <c r="D24" s="416">
        <v>4.206932196472113</v>
      </c>
      <c r="E24" s="416">
        <v>5.236744753820213</v>
      </c>
      <c r="F24" s="416">
        <v>6.026947721633039</v>
      </c>
      <c r="G24" s="416">
        <v>6.693119639124015</v>
      </c>
      <c r="H24" s="416">
        <v>7.280028880396223</v>
      </c>
      <c r="I24" s="416">
        <v>7.810635393232385</v>
      </c>
      <c r="J24" s="416">
        <v>8.298578439768802</v>
      </c>
      <c r="K24" s="416">
        <v>8.752744753820213</v>
      </c>
      <c r="L24" s="416">
        <v>9.179307081775915</v>
      </c>
      <c r="M24" s="416">
        <v>9.582759762709474</v>
      </c>
      <c r="N24" s="416">
        <v>9.966495659589803</v>
      </c>
      <c r="O24" s="416">
        <v>10.333150689445867</v>
      </c>
      <c r="P24" s="416">
        <v>10.684821058716329</v>
      </c>
      <c r="Q24" s="416">
        <v>11.023206363523315</v>
      </c>
      <c r="R24" s="416">
        <v>11.349707314761034</v>
      </c>
      <c r="S24" s="416">
        <v>11.665494524427817</v>
      </c>
      <c r="T24" s="416">
        <v>11.971558184958251</v>
      </c>
      <c r="U24" s="417">
        <v>12.268744753820213</v>
      </c>
      <c r="V24" s="310"/>
    </row>
    <row r="25" spans="1:22" ht="15.75">
      <c r="A25" s="310"/>
      <c r="B25" s="960"/>
      <c r="C25" s="415">
        <v>35</v>
      </c>
      <c r="D25" s="416">
        <v>3.9073746874423563</v>
      </c>
      <c r="E25" s="416">
        <v>4.937187244790455</v>
      </c>
      <c r="F25" s="416">
        <v>5.727390212603282</v>
      </c>
      <c r="G25" s="416">
        <v>6.393562130094257</v>
      </c>
      <c r="H25" s="416">
        <v>6.980471371366466</v>
      </c>
      <c r="I25" s="416">
        <v>7.511077884202628</v>
      </c>
      <c r="J25" s="416">
        <v>7.999020930739044</v>
      </c>
      <c r="K25" s="416">
        <v>8.453187244790456</v>
      </c>
      <c r="L25" s="416">
        <v>8.879749572746158</v>
      </c>
      <c r="M25" s="416">
        <v>9.283202253679717</v>
      </c>
      <c r="N25" s="416">
        <v>9.666938150560046</v>
      </c>
      <c r="O25" s="416">
        <v>10.03359318041611</v>
      </c>
      <c r="P25" s="416">
        <v>10.385263549686572</v>
      </c>
      <c r="Q25" s="416">
        <v>10.723648854493558</v>
      </c>
      <c r="R25" s="416">
        <v>11.050149805731277</v>
      </c>
      <c r="S25" s="416">
        <v>11.36593701539806</v>
      </c>
      <c r="T25" s="416">
        <v>11.672000675928494</v>
      </c>
      <c r="U25" s="417">
        <v>11.969187244790456</v>
      </c>
      <c r="V25" s="310"/>
    </row>
    <row r="26" spans="1:22" ht="15.75">
      <c r="A26" s="310"/>
      <c r="B26" s="960"/>
      <c r="C26" s="415">
        <v>40</v>
      </c>
      <c r="D26" s="416">
        <v>3.6733797225047393</v>
      </c>
      <c r="E26" s="416">
        <v>4.703192279852838</v>
      </c>
      <c r="F26" s="416">
        <v>5.493395247665665</v>
      </c>
      <c r="G26" s="416">
        <v>6.15956716515664</v>
      </c>
      <c r="H26" s="416">
        <v>6.746476406428849</v>
      </c>
      <c r="I26" s="416">
        <v>7.277082919265011</v>
      </c>
      <c r="J26" s="416">
        <v>7.765025965801427</v>
      </c>
      <c r="K26" s="416">
        <v>8.21919227985284</v>
      </c>
      <c r="L26" s="416">
        <v>8.645754607808541</v>
      </c>
      <c r="M26" s="416">
        <v>9.0492072887421</v>
      </c>
      <c r="N26" s="416">
        <v>9.43294318562243</v>
      </c>
      <c r="O26" s="416">
        <v>9.799598215478493</v>
      </c>
      <c r="P26" s="416">
        <v>10.151268584748955</v>
      </c>
      <c r="Q26" s="416">
        <v>10.48965388955594</v>
      </c>
      <c r="R26" s="416">
        <v>10.81615484079366</v>
      </c>
      <c r="S26" s="416">
        <v>11.131942050460443</v>
      </c>
      <c r="T26" s="416">
        <v>11.438005710990877</v>
      </c>
      <c r="U26" s="417">
        <v>11.73519227985284</v>
      </c>
      <c r="V26" s="310"/>
    </row>
    <row r="27" spans="1:22" ht="18.75" customHeight="1">
      <c r="A27" s="310"/>
      <c r="B27" s="960"/>
      <c r="C27" s="415">
        <v>45</v>
      </c>
      <c r="D27" s="416">
        <v>3.483025106444476</v>
      </c>
      <c r="E27" s="416">
        <v>4.512837663792575</v>
      </c>
      <c r="F27" s="416">
        <v>5.303040631605402</v>
      </c>
      <c r="G27" s="416">
        <v>5.969212549096377</v>
      </c>
      <c r="H27" s="416">
        <v>6.556121790368586</v>
      </c>
      <c r="I27" s="416">
        <v>7.0867283032047474</v>
      </c>
      <c r="J27" s="416">
        <v>7.5746713497411635</v>
      </c>
      <c r="K27" s="416">
        <v>8.028837663792576</v>
      </c>
      <c r="L27" s="416">
        <v>8.455399991748278</v>
      </c>
      <c r="M27" s="416">
        <v>8.858852672681836</v>
      </c>
      <c r="N27" s="416">
        <v>9.242588569562166</v>
      </c>
      <c r="O27" s="416">
        <v>9.60924359941823</v>
      </c>
      <c r="P27" s="416">
        <v>9.960913968688692</v>
      </c>
      <c r="Q27" s="416">
        <v>10.299299273495677</v>
      </c>
      <c r="R27" s="416">
        <v>10.625800224733396</v>
      </c>
      <c r="S27" s="416">
        <v>10.94158743440018</v>
      </c>
      <c r="T27" s="416">
        <v>11.247651094930614</v>
      </c>
      <c r="U27" s="417">
        <v>11.544837663792576</v>
      </c>
      <c r="V27" s="310"/>
    </row>
    <row r="28" spans="1:22" ht="15.75">
      <c r="A28" s="310"/>
      <c r="B28" s="960"/>
      <c r="C28" s="415">
        <v>50</v>
      </c>
      <c r="D28" s="416">
        <v>3.3229685633668358</v>
      </c>
      <c r="E28" s="416">
        <v>4.352781120714934</v>
      </c>
      <c r="F28" s="416">
        <v>5.142984088527761</v>
      </c>
      <c r="G28" s="416">
        <v>5.809156006018736</v>
      </c>
      <c r="H28" s="416">
        <v>6.396065247290945</v>
      </c>
      <c r="I28" s="416">
        <v>6.926671760127107</v>
      </c>
      <c r="J28" s="416">
        <v>7.414614806663523</v>
      </c>
      <c r="K28" s="416">
        <v>7.868781120714934</v>
      </c>
      <c r="L28" s="416">
        <v>8.295343448670637</v>
      </c>
      <c r="M28" s="416">
        <v>8.698796129604196</v>
      </c>
      <c r="N28" s="416">
        <v>9.082532026484525</v>
      </c>
      <c r="O28" s="416">
        <v>9.44918705634059</v>
      </c>
      <c r="P28" s="416">
        <v>9.800857425611051</v>
      </c>
      <c r="Q28" s="416">
        <v>10.139242730418037</v>
      </c>
      <c r="R28" s="416">
        <v>10.465743681655756</v>
      </c>
      <c r="S28" s="416">
        <v>10.78153089132254</v>
      </c>
      <c r="T28" s="416">
        <v>11.087594551852973</v>
      </c>
      <c r="U28" s="417">
        <v>11.384781120714935</v>
      </c>
      <c r="V28" s="310"/>
    </row>
    <row r="29" spans="1:22" ht="15.75">
      <c r="A29" s="310"/>
      <c r="B29" s="960"/>
      <c r="C29" s="415">
        <v>60</v>
      </c>
      <c r="D29" s="416">
        <v>3.062048668113781</v>
      </c>
      <c r="E29" s="416">
        <v>4.09186122546188</v>
      </c>
      <c r="F29" s="416">
        <v>4.882064193274707</v>
      </c>
      <c r="G29" s="416">
        <v>5.548236110765682</v>
      </c>
      <c r="H29" s="416">
        <v>6.135145352037891</v>
      </c>
      <c r="I29" s="416">
        <v>6.665751864874053</v>
      </c>
      <c r="J29" s="416">
        <v>7.153694911410469</v>
      </c>
      <c r="K29" s="416">
        <v>7.60786122546188</v>
      </c>
      <c r="L29" s="416">
        <v>8.034423553417582</v>
      </c>
      <c r="M29" s="416">
        <v>8.43787623435114</v>
      </c>
      <c r="N29" s="416">
        <v>8.82161213123147</v>
      </c>
      <c r="O29" s="416">
        <v>9.188267161087534</v>
      </c>
      <c r="P29" s="416">
        <v>9.539937530357996</v>
      </c>
      <c r="Q29" s="416">
        <v>9.878322835164981</v>
      </c>
      <c r="R29" s="416">
        <v>10.2048237864027</v>
      </c>
      <c r="S29" s="416">
        <v>10.520610996069484</v>
      </c>
      <c r="T29" s="416">
        <v>10.826674656599918</v>
      </c>
      <c r="U29" s="417">
        <v>11.12386122546188</v>
      </c>
      <c r="V29" s="310"/>
    </row>
    <row r="30" spans="1:22" ht="15.75">
      <c r="A30" s="310"/>
      <c r="B30" s="960"/>
      <c r="C30" s="415">
        <v>70</v>
      </c>
      <c r="D30" s="416">
        <v>2.848940940987596</v>
      </c>
      <c r="E30" s="416">
        <v>3.878753498335695</v>
      </c>
      <c r="F30" s="416">
        <v>4.668956466148522</v>
      </c>
      <c r="G30" s="416">
        <v>5.335128383639497</v>
      </c>
      <c r="H30" s="416">
        <v>5.922037624911706</v>
      </c>
      <c r="I30" s="416">
        <v>6.452644137747868</v>
      </c>
      <c r="J30" s="416">
        <v>6.940587184284284</v>
      </c>
      <c r="K30" s="416">
        <v>7.394753498335695</v>
      </c>
      <c r="L30" s="416">
        <v>7.821315826291397</v>
      </c>
      <c r="M30" s="416">
        <v>8.224768507224956</v>
      </c>
      <c r="N30" s="416">
        <v>8.608504404105286</v>
      </c>
      <c r="O30" s="416">
        <v>8.97515943396135</v>
      </c>
      <c r="P30" s="416">
        <v>9.326829803231812</v>
      </c>
      <c r="Q30" s="416">
        <v>9.665215108038797</v>
      </c>
      <c r="R30" s="416">
        <v>9.991716059276516</v>
      </c>
      <c r="S30" s="416">
        <v>10.3075032689433</v>
      </c>
      <c r="T30" s="416">
        <v>10.613566929473734</v>
      </c>
      <c r="U30" s="417">
        <v>10.910753498335696</v>
      </c>
      <c r="V30" s="310"/>
    </row>
    <row r="31" spans="1:22" ht="15.75">
      <c r="A31" s="310"/>
      <c r="B31" s="960"/>
      <c r="C31" s="415">
        <v>80</v>
      </c>
      <c r="D31" s="416">
        <v>2.661305722213448</v>
      </c>
      <c r="E31" s="416">
        <v>3.691118279561547</v>
      </c>
      <c r="F31" s="416">
        <v>4.481321247374374</v>
      </c>
      <c r="G31" s="416">
        <v>5.147493164865349</v>
      </c>
      <c r="H31" s="416">
        <v>5.734402406137558</v>
      </c>
      <c r="I31" s="416">
        <v>6.265008918973719</v>
      </c>
      <c r="J31" s="416">
        <v>6.752951965510135</v>
      </c>
      <c r="K31" s="416">
        <v>7.207118279561547</v>
      </c>
      <c r="L31" s="416">
        <v>7.633680607517249</v>
      </c>
      <c r="M31" s="416">
        <v>8.037133288450809</v>
      </c>
      <c r="N31" s="416">
        <v>8.420869185331137</v>
      </c>
      <c r="O31" s="416">
        <v>8.7875242151872</v>
      </c>
      <c r="P31" s="416">
        <v>9.139194584457663</v>
      </c>
      <c r="Q31" s="416">
        <v>9.477579889264648</v>
      </c>
      <c r="R31" s="416">
        <v>9.804080840502367</v>
      </c>
      <c r="S31" s="416">
        <v>10.119868050169151</v>
      </c>
      <c r="T31" s="416">
        <v>10.425931710699585</v>
      </c>
      <c r="U31" s="417">
        <v>10.723118279561547</v>
      </c>
      <c r="V31" s="310"/>
    </row>
    <row r="32" spans="1:22" ht="16.5" thickBot="1">
      <c r="A32" s="310"/>
      <c r="B32" s="961"/>
      <c r="C32" s="418">
        <v>90</v>
      </c>
      <c r="D32" s="419">
        <v>2.4848332179347974</v>
      </c>
      <c r="E32" s="419">
        <v>3.5146457752828963</v>
      </c>
      <c r="F32" s="419">
        <v>4.304848743095723</v>
      </c>
      <c r="G32" s="419">
        <v>4.9710206605866984</v>
      </c>
      <c r="H32" s="419">
        <v>5.557929901858907</v>
      </c>
      <c r="I32" s="419">
        <v>6.088536414695069</v>
      </c>
      <c r="J32" s="419">
        <v>6.576479461231485</v>
      </c>
      <c r="K32" s="419">
        <v>7.030645775282896</v>
      </c>
      <c r="L32" s="419">
        <v>7.457208103238599</v>
      </c>
      <c r="M32" s="419">
        <v>7.860660784172158</v>
      </c>
      <c r="N32" s="419">
        <v>8.244396681052486</v>
      </c>
      <c r="O32" s="419">
        <v>8.61105171090855</v>
      </c>
      <c r="P32" s="419">
        <v>8.962722080179011</v>
      </c>
      <c r="Q32" s="419">
        <v>9.301107384985997</v>
      </c>
      <c r="R32" s="419">
        <v>9.627608336223716</v>
      </c>
      <c r="S32" s="419">
        <v>9.9433955458905</v>
      </c>
      <c r="T32" s="419">
        <v>10.249459206420934</v>
      </c>
      <c r="U32" s="420">
        <v>10.546645775282895</v>
      </c>
      <c r="V32" s="310"/>
    </row>
    <row r="33" spans="1:22" ht="15.75">
      <c r="A33" s="310"/>
      <c r="B33" s="962" t="s">
        <v>391</v>
      </c>
      <c r="C33" s="962"/>
      <c r="D33" s="353" t="s">
        <v>392</v>
      </c>
      <c r="E33" s="353"/>
      <c r="F33" s="353"/>
      <c r="G33" s="353"/>
      <c r="H33" s="353"/>
      <c r="I33" s="353"/>
      <c r="J33" s="353"/>
      <c r="K33" s="353"/>
      <c r="L33" s="353"/>
      <c r="M33" s="310"/>
      <c r="N33" s="310"/>
      <c r="O33" s="310"/>
      <c r="P33" s="310"/>
      <c r="Q33" s="310"/>
      <c r="R33" s="310"/>
      <c r="S33" s="310"/>
      <c r="T33" s="310"/>
      <c r="U33" s="310"/>
      <c r="V33" s="310"/>
    </row>
    <row r="34" spans="1:22" ht="15.75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</row>
    <row r="35" spans="1:22" ht="15" customHeight="1">
      <c r="A35" s="310"/>
      <c r="B35" s="898" t="s">
        <v>324</v>
      </c>
      <c r="C35" s="899"/>
      <c r="D35" s="900"/>
      <c r="E35" s="907" t="s">
        <v>323</v>
      </c>
      <c r="F35" s="908"/>
      <c r="G35" s="953" t="s">
        <v>325</v>
      </c>
      <c r="H35" s="954"/>
      <c r="I35" s="407" t="s">
        <v>205</v>
      </c>
      <c r="J35" s="330" t="s">
        <v>386</v>
      </c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</row>
    <row r="36" spans="1:22" ht="15.75">
      <c r="A36" s="310"/>
      <c r="B36" s="901"/>
      <c r="C36" s="902"/>
      <c r="D36" s="903"/>
      <c r="E36" s="332" t="s">
        <v>200</v>
      </c>
      <c r="F36" s="333" t="s">
        <v>201</v>
      </c>
      <c r="G36" s="955"/>
      <c r="H36" s="956"/>
      <c r="I36" s="408" t="s">
        <v>206</v>
      </c>
      <c r="J36" s="334" t="s">
        <v>201</v>
      </c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</row>
    <row r="37" spans="1:22" ht="15.75">
      <c r="A37" s="310"/>
      <c r="B37" s="904"/>
      <c r="C37" s="905"/>
      <c r="D37" s="906"/>
      <c r="E37" s="351">
        <v>10</v>
      </c>
      <c r="F37" s="352">
        <v>0</v>
      </c>
      <c r="G37" s="957"/>
      <c r="H37" s="958"/>
      <c r="I37" s="409">
        <v>16</v>
      </c>
      <c r="J37" s="336">
        <f>1.758*SQRT(I37)+(1.002/TAN(RADIANS((E37+(F37/60))+(7.31/((E37+(F37/60))+4.4)))))</f>
        <v>12.434288478509611</v>
      </c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</row>
    <row r="38" spans="1:22" ht="9" customHeight="1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</row>
    <row r="39" ht="15.75" hidden="1"/>
  </sheetData>
  <sheetProtection password="C661" sheet="1" objects="1" scenarios="1" selectLockedCells="1"/>
  <mergeCells count="10">
    <mergeCell ref="B35:D37"/>
    <mergeCell ref="E35:F35"/>
    <mergeCell ref="G35:H37"/>
    <mergeCell ref="B2:U2"/>
    <mergeCell ref="B7:B32"/>
    <mergeCell ref="B5:U5"/>
    <mergeCell ref="B4:U4"/>
    <mergeCell ref="B3:U3"/>
    <mergeCell ref="B33:C33"/>
    <mergeCell ref="B6:C6"/>
  </mergeCells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Z94"/>
  <sheetViews>
    <sheetView zoomScalePageLayoutView="0" workbookViewId="0" topLeftCell="A37">
      <selection activeCell="I44" sqref="I44"/>
    </sheetView>
  </sheetViews>
  <sheetFormatPr defaultColWidth="0" defaultRowHeight="0" customHeight="1" zeroHeight="1"/>
  <cols>
    <col min="1" max="1" width="1.4921875" style="423" customWidth="1"/>
    <col min="2" max="25" width="6.125" style="423" customWidth="1"/>
    <col min="26" max="26" width="1.4921875" style="423" customWidth="1"/>
    <col min="27" max="16384" width="10.875" style="423" hidden="1" customWidth="1"/>
  </cols>
  <sheetData>
    <row r="1" spans="1:26" ht="9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9.5" customHeight="1">
      <c r="A2" s="310"/>
      <c r="B2" s="310"/>
      <c r="C2" s="310"/>
      <c r="D2" s="972" t="s">
        <v>404</v>
      </c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  <c r="T2" s="972"/>
      <c r="U2" s="972"/>
      <c r="V2" s="972"/>
      <c r="W2" s="972"/>
      <c r="X2" s="310"/>
      <c r="Y2" s="310"/>
      <c r="Z2" s="310"/>
    </row>
    <row r="3" spans="1:26" ht="15" customHeight="1">
      <c r="A3" s="310"/>
      <c r="B3" s="310"/>
      <c r="C3" s="310"/>
      <c r="D3" s="978" t="s">
        <v>402</v>
      </c>
      <c r="E3" s="979"/>
      <c r="F3" s="988" t="s">
        <v>403</v>
      </c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  <c r="U3" s="988"/>
      <c r="V3" s="988"/>
      <c r="W3" s="988"/>
      <c r="X3" s="310"/>
      <c r="Y3" s="310"/>
      <c r="Z3" s="310"/>
    </row>
    <row r="4" spans="1:26" ht="15" customHeight="1">
      <c r="A4" s="310"/>
      <c r="B4" s="310"/>
      <c r="C4" s="310"/>
      <c r="D4" s="980"/>
      <c r="E4" s="981"/>
      <c r="F4" s="988"/>
      <c r="G4" s="988"/>
      <c r="H4" s="988"/>
      <c r="I4" s="988"/>
      <c r="J4" s="988"/>
      <c r="K4" s="988"/>
      <c r="L4" s="988"/>
      <c r="M4" s="988"/>
      <c r="N4" s="988"/>
      <c r="O4" s="988"/>
      <c r="P4" s="988"/>
      <c r="Q4" s="988"/>
      <c r="R4" s="988"/>
      <c r="S4" s="988"/>
      <c r="T4" s="988"/>
      <c r="U4" s="988"/>
      <c r="V4" s="988"/>
      <c r="W4" s="988"/>
      <c r="X4" s="310"/>
      <c r="Y4" s="310"/>
      <c r="Z4" s="310"/>
    </row>
    <row r="5" spans="1:26" ht="15" customHeight="1">
      <c r="A5" s="310"/>
      <c r="B5" s="310"/>
      <c r="C5" s="310"/>
      <c r="D5" s="982"/>
      <c r="E5" s="983"/>
      <c r="F5" s="425">
        <v>10</v>
      </c>
      <c r="G5" s="425">
        <v>20</v>
      </c>
      <c r="H5" s="425">
        <v>30</v>
      </c>
      <c r="I5" s="425">
        <v>40</v>
      </c>
      <c r="J5" s="425">
        <v>50</v>
      </c>
      <c r="K5" s="425">
        <v>60</v>
      </c>
      <c r="L5" s="425">
        <v>70</v>
      </c>
      <c r="M5" s="425">
        <v>80</v>
      </c>
      <c r="N5" s="425">
        <v>90</v>
      </c>
      <c r="O5" s="425">
        <v>100</v>
      </c>
      <c r="P5" s="425">
        <v>110</v>
      </c>
      <c r="Q5" s="425">
        <v>120</v>
      </c>
      <c r="R5" s="425">
        <v>130</v>
      </c>
      <c r="S5" s="425">
        <v>140</v>
      </c>
      <c r="T5" s="425">
        <v>150</v>
      </c>
      <c r="U5" s="425">
        <v>160</v>
      </c>
      <c r="V5" s="425">
        <v>170</v>
      </c>
      <c r="W5" s="425">
        <v>180</v>
      </c>
      <c r="X5" s="310"/>
      <c r="Y5" s="310"/>
      <c r="Z5" s="310"/>
    </row>
    <row r="6" spans="1:26" ht="15" customHeight="1">
      <c r="A6" s="310"/>
      <c r="B6" s="310"/>
      <c r="C6" s="310"/>
      <c r="D6" s="984" t="s">
        <v>401</v>
      </c>
      <c r="E6" s="985"/>
      <c r="F6" s="426" t="s">
        <v>401</v>
      </c>
      <c r="G6" s="426" t="s">
        <v>401</v>
      </c>
      <c r="H6" s="426" t="s">
        <v>401</v>
      </c>
      <c r="I6" s="426" t="s">
        <v>401</v>
      </c>
      <c r="J6" s="426" t="s">
        <v>401</v>
      </c>
      <c r="K6" s="426" t="s">
        <v>401</v>
      </c>
      <c r="L6" s="426" t="s">
        <v>401</v>
      </c>
      <c r="M6" s="426" t="s">
        <v>401</v>
      </c>
      <c r="N6" s="426" t="s">
        <v>401</v>
      </c>
      <c r="O6" s="426" t="s">
        <v>401</v>
      </c>
      <c r="P6" s="426" t="s">
        <v>401</v>
      </c>
      <c r="Q6" s="426" t="s">
        <v>401</v>
      </c>
      <c r="R6" s="426" t="s">
        <v>401</v>
      </c>
      <c r="S6" s="426" t="s">
        <v>401</v>
      </c>
      <c r="T6" s="426" t="s">
        <v>401</v>
      </c>
      <c r="U6" s="426" t="s">
        <v>401</v>
      </c>
      <c r="V6" s="426" t="s">
        <v>401</v>
      </c>
      <c r="W6" s="426" t="s">
        <v>401</v>
      </c>
      <c r="X6" s="310"/>
      <c r="Y6" s="310"/>
      <c r="Z6" s="310"/>
    </row>
    <row r="7" spans="1:26" ht="15" customHeight="1">
      <c r="A7" s="310"/>
      <c r="B7" s="310"/>
      <c r="C7" s="310"/>
      <c r="D7" s="976">
        <v>40</v>
      </c>
      <c r="E7" s="977"/>
      <c r="F7" s="426">
        <v>1</v>
      </c>
      <c r="G7" s="426">
        <v>2</v>
      </c>
      <c r="H7" s="426">
        <v>3</v>
      </c>
      <c r="I7" s="426">
        <v>4</v>
      </c>
      <c r="J7" s="426">
        <v>6</v>
      </c>
      <c r="K7" s="426">
        <v>7</v>
      </c>
      <c r="L7" s="426">
        <v>8</v>
      </c>
      <c r="M7" s="426">
        <v>9</v>
      </c>
      <c r="N7" s="426">
        <v>10</v>
      </c>
      <c r="O7" s="426">
        <v>11</v>
      </c>
      <c r="P7" s="426">
        <v>12</v>
      </c>
      <c r="Q7" s="426">
        <v>13</v>
      </c>
      <c r="R7" s="426">
        <v>14</v>
      </c>
      <c r="S7" s="426">
        <v>16</v>
      </c>
      <c r="T7" s="426">
        <v>17</v>
      </c>
      <c r="U7" s="426">
        <v>18</v>
      </c>
      <c r="V7" s="426">
        <v>19</v>
      </c>
      <c r="W7" s="426">
        <v>20</v>
      </c>
      <c r="X7" s="310"/>
      <c r="Y7" s="310"/>
      <c r="Z7" s="310"/>
    </row>
    <row r="8" spans="1:26" ht="15" customHeight="1">
      <c r="A8" s="310"/>
      <c r="B8" s="310"/>
      <c r="C8" s="310"/>
      <c r="D8" s="976">
        <v>44</v>
      </c>
      <c r="E8" s="977"/>
      <c r="F8" s="426">
        <v>1</v>
      </c>
      <c r="G8" s="426">
        <v>2</v>
      </c>
      <c r="H8" s="426">
        <v>4</v>
      </c>
      <c r="I8" s="426">
        <v>5</v>
      </c>
      <c r="J8" s="426">
        <v>6</v>
      </c>
      <c r="K8" s="426">
        <v>7</v>
      </c>
      <c r="L8" s="426">
        <v>9</v>
      </c>
      <c r="M8" s="426">
        <v>10</v>
      </c>
      <c r="N8" s="426">
        <v>11</v>
      </c>
      <c r="O8" s="426">
        <v>12</v>
      </c>
      <c r="P8" s="426">
        <v>13</v>
      </c>
      <c r="Q8" s="426">
        <v>15</v>
      </c>
      <c r="R8" s="426">
        <v>16</v>
      </c>
      <c r="S8" s="426">
        <v>17</v>
      </c>
      <c r="T8" s="426">
        <v>18</v>
      </c>
      <c r="U8" s="426">
        <v>20</v>
      </c>
      <c r="V8" s="426">
        <v>21</v>
      </c>
      <c r="W8" s="426">
        <v>22</v>
      </c>
      <c r="X8" s="310"/>
      <c r="Y8" s="310"/>
      <c r="Z8" s="310"/>
    </row>
    <row r="9" spans="1:26" ht="15" customHeight="1">
      <c r="A9" s="310"/>
      <c r="B9" s="310"/>
      <c r="C9" s="310"/>
      <c r="D9" s="976">
        <v>48</v>
      </c>
      <c r="E9" s="977"/>
      <c r="F9" s="426">
        <v>1</v>
      </c>
      <c r="G9" s="426">
        <v>3</v>
      </c>
      <c r="H9" s="426">
        <v>4</v>
      </c>
      <c r="I9" s="426">
        <v>5</v>
      </c>
      <c r="J9" s="426">
        <v>7</v>
      </c>
      <c r="K9" s="426">
        <v>8</v>
      </c>
      <c r="L9" s="426">
        <v>9</v>
      </c>
      <c r="M9" s="426">
        <v>11</v>
      </c>
      <c r="N9" s="426">
        <v>12</v>
      </c>
      <c r="O9" s="426">
        <v>13</v>
      </c>
      <c r="P9" s="426">
        <v>15</v>
      </c>
      <c r="Q9" s="426">
        <v>16</v>
      </c>
      <c r="R9" s="426">
        <v>17</v>
      </c>
      <c r="S9" s="426">
        <v>19</v>
      </c>
      <c r="T9" s="426">
        <v>20</v>
      </c>
      <c r="U9" s="426">
        <v>21</v>
      </c>
      <c r="V9" s="426">
        <v>23</v>
      </c>
      <c r="W9" s="426">
        <v>24</v>
      </c>
      <c r="X9" s="310"/>
      <c r="Y9" s="310"/>
      <c r="Z9" s="310"/>
    </row>
    <row r="10" spans="1:26" ht="15" customHeight="1">
      <c r="A10" s="310"/>
      <c r="B10" s="310"/>
      <c r="C10" s="310"/>
      <c r="D10" s="976">
        <v>52</v>
      </c>
      <c r="E10" s="977"/>
      <c r="F10" s="426">
        <v>1</v>
      </c>
      <c r="G10" s="426">
        <v>3</v>
      </c>
      <c r="H10" s="426">
        <v>4</v>
      </c>
      <c r="I10" s="426">
        <v>6</v>
      </c>
      <c r="J10" s="426">
        <v>7</v>
      </c>
      <c r="K10" s="426">
        <v>9</v>
      </c>
      <c r="L10" s="426">
        <v>10</v>
      </c>
      <c r="M10" s="426">
        <v>12</v>
      </c>
      <c r="N10" s="426">
        <v>13</v>
      </c>
      <c r="O10" s="426">
        <v>14</v>
      </c>
      <c r="P10" s="426">
        <v>16</v>
      </c>
      <c r="Q10" s="426">
        <v>17</v>
      </c>
      <c r="R10" s="426">
        <v>19</v>
      </c>
      <c r="S10" s="426">
        <v>20</v>
      </c>
      <c r="T10" s="426">
        <v>22</v>
      </c>
      <c r="U10" s="426">
        <v>23</v>
      </c>
      <c r="V10" s="426">
        <v>25</v>
      </c>
      <c r="W10" s="426">
        <v>26</v>
      </c>
      <c r="X10" s="310"/>
      <c r="Y10" s="310"/>
      <c r="Z10" s="310"/>
    </row>
    <row r="11" spans="1:26" ht="15" customHeight="1">
      <c r="A11" s="310"/>
      <c r="B11" s="310"/>
      <c r="C11" s="310"/>
      <c r="D11" s="976">
        <v>56</v>
      </c>
      <c r="E11" s="977"/>
      <c r="F11" s="426">
        <v>2</v>
      </c>
      <c r="G11" s="426">
        <v>3</v>
      </c>
      <c r="H11" s="426">
        <v>5</v>
      </c>
      <c r="I11" s="426">
        <v>6</v>
      </c>
      <c r="J11" s="426">
        <v>8</v>
      </c>
      <c r="K11" s="426">
        <v>9</v>
      </c>
      <c r="L11" s="426">
        <v>11</v>
      </c>
      <c r="M11" s="426">
        <v>12</v>
      </c>
      <c r="N11" s="426">
        <v>14</v>
      </c>
      <c r="O11" s="426">
        <v>16</v>
      </c>
      <c r="P11" s="426">
        <v>17</v>
      </c>
      <c r="Q11" s="426">
        <v>19</v>
      </c>
      <c r="R11" s="426">
        <v>20</v>
      </c>
      <c r="S11" s="426">
        <v>22</v>
      </c>
      <c r="T11" s="426">
        <v>23</v>
      </c>
      <c r="U11" s="426">
        <v>25</v>
      </c>
      <c r="V11" s="426">
        <v>26</v>
      </c>
      <c r="W11" s="426">
        <v>28</v>
      </c>
      <c r="X11" s="310"/>
      <c r="Y11" s="310"/>
      <c r="Z11" s="310"/>
    </row>
    <row r="12" spans="1:26" ht="15" customHeight="1">
      <c r="A12" s="310"/>
      <c r="B12" s="310"/>
      <c r="C12" s="310"/>
      <c r="D12" s="976">
        <v>60</v>
      </c>
      <c r="E12" s="977"/>
      <c r="F12" s="426">
        <v>2</v>
      </c>
      <c r="G12" s="426">
        <v>3</v>
      </c>
      <c r="H12" s="426">
        <v>5</v>
      </c>
      <c r="I12" s="426">
        <v>7</v>
      </c>
      <c r="J12" s="426">
        <v>8</v>
      </c>
      <c r="K12" s="426">
        <v>10</v>
      </c>
      <c r="L12" s="426">
        <v>12</v>
      </c>
      <c r="M12" s="426">
        <v>13</v>
      </c>
      <c r="N12" s="426">
        <v>15</v>
      </c>
      <c r="O12" s="426">
        <v>17</v>
      </c>
      <c r="P12" s="426">
        <v>18</v>
      </c>
      <c r="Q12" s="426">
        <v>20</v>
      </c>
      <c r="R12" s="426">
        <v>22</v>
      </c>
      <c r="S12" s="426">
        <v>23</v>
      </c>
      <c r="T12" s="426">
        <v>25</v>
      </c>
      <c r="U12" s="426">
        <v>27</v>
      </c>
      <c r="V12" s="426">
        <v>28</v>
      </c>
      <c r="W12" s="426">
        <v>30</v>
      </c>
      <c r="X12" s="310"/>
      <c r="Y12" s="310"/>
      <c r="Z12" s="310"/>
    </row>
    <row r="13" spans="1:26" ht="15" customHeight="1">
      <c r="A13" s="310"/>
      <c r="B13" s="310"/>
      <c r="C13" s="310"/>
      <c r="D13" s="976">
        <v>64</v>
      </c>
      <c r="E13" s="977"/>
      <c r="F13" s="426">
        <v>2</v>
      </c>
      <c r="G13" s="426">
        <v>4</v>
      </c>
      <c r="H13" s="426">
        <v>5</v>
      </c>
      <c r="I13" s="426">
        <v>7</v>
      </c>
      <c r="J13" s="426">
        <v>9</v>
      </c>
      <c r="K13" s="426">
        <v>11</v>
      </c>
      <c r="L13" s="426">
        <v>13</v>
      </c>
      <c r="M13" s="426">
        <v>14</v>
      </c>
      <c r="N13" s="426">
        <v>16</v>
      </c>
      <c r="O13" s="426">
        <v>18</v>
      </c>
      <c r="P13" s="426">
        <v>20</v>
      </c>
      <c r="Q13" s="426">
        <v>21</v>
      </c>
      <c r="R13" s="426">
        <v>23</v>
      </c>
      <c r="S13" s="426">
        <v>25</v>
      </c>
      <c r="T13" s="426">
        <v>27</v>
      </c>
      <c r="U13" s="426">
        <v>28</v>
      </c>
      <c r="V13" s="426">
        <v>30</v>
      </c>
      <c r="W13" s="426">
        <v>32</v>
      </c>
      <c r="X13" s="310"/>
      <c r="Y13" s="310"/>
      <c r="Z13" s="310"/>
    </row>
    <row r="14" spans="1:26" ht="15" customHeight="1">
      <c r="A14" s="310"/>
      <c r="B14" s="310"/>
      <c r="C14" s="310"/>
      <c r="D14" s="986">
        <v>66</v>
      </c>
      <c r="E14" s="987"/>
      <c r="F14" s="427">
        <v>2</v>
      </c>
      <c r="G14" s="427">
        <v>4</v>
      </c>
      <c r="H14" s="427">
        <v>5</v>
      </c>
      <c r="I14" s="427">
        <v>7</v>
      </c>
      <c r="J14" s="427">
        <v>9</v>
      </c>
      <c r="K14" s="427">
        <v>11</v>
      </c>
      <c r="L14" s="427">
        <v>14</v>
      </c>
      <c r="M14" s="427">
        <v>15</v>
      </c>
      <c r="N14" s="427">
        <v>16</v>
      </c>
      <c r="O14" s="427">
        <v>18</v>
      </c>
      <c r="P14" s="427">
        <v>20</v>
      </c>
      <c r="Q14" s="427">
        <v>22</v>
      </c>
      <c r="R14" s="427">
        <v>24</v>
      </c>
      <c r="S14" s="427">
        <v>26</v>
      </c>
      <c r="T14" s="427">
        <v>27</v>
      </c>
      <c r="U14" s="427">
        <v>29</v>
      </c>
      <c r="V14" s="427">
        <v>31</v>
      </c>
      <c r="W14" s="427">
        <v>33</v>
      </c>
      <c r="X14" s="310"/>
      <c r="Y14" s="310"/>
      <c r="Z14" s="310"/>
    </row>
    <row r="15" spans="1:26" ht="1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</row>
    <row r="16" spans="1:26" ht="15" customHeight="1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</row>
    <row r="17" spans="1:26" ht="19.5" customHeight="1">
      <c r="A17" s="310"/>
      <c r="B17" s="972" t="s">
        <v>398</v>
      </c>
      <c r="C17" s="972"/>
      <c r="D17" s="972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972"/>
      <c r="P17" s="972"/>
      <c r="Q17" s="972"/>
      <c r="R17" s="972"/>
      <c r="S17" s="972"/>
      <c r="T17" s="972"/>
      <c r="U17" s="972"/>
      <c r="V17" s="972"/>
      <c r="W17" s="972"/>
      <c r="X17" s="972"/>
      <c r="Y17" s="972"/>
      <c r="Z17" s="310"/>
    </row>
    <row r="18" spans="1:26" ht="15" customHeight="1">
      <c r="A18" s="310"/>
      <c r="B18" s="975" t="s">
        <v>396</v>
      </c>
      <c r="C18" s="932" t="s">
        <v>397</v>
      </c>
      <c r="D18" s="932"/>
      <c r="E18" s="932"/>
      <c r="F18" s="932"/>
      <c r="G18" s="932"/>
      <c r="H18" s="975" t="s">
        <v>396</v>
      </c>
      <c r="I18" s="932" t="s">
        <v>397</v>
      </c>
      <c r="J18" s="932"/>
      <c r="K18" s="932"/>
      <c r="L18" s="932"/>
      <c r="M18" s="932"/>
      <c r="N18" s="975" t="s">
        <v>396</v>
      </c>
      <c r="O18" s="932" t="s">
        <v>397</v>
      </c>
      <c r="P18" s="932"/>
      <c r="Q18" s="932"/>
      <c r="R18" s="932"/>
      <c r="S18" s="932"/>
      <c r="T18" s="975" t="s">
        <v>396</v>
      </c>
      <c r="U18" s="932" t="s">
        <v>397</v>
      </c>
      <c r="V18" s="932"/>
      <c r="W18" s="932"/>
      <c r="X18" s="932"/>
      <c r="Y18" s="932"/>
      <c r="Z18" s="310"/>
    </row>
    <row r="19" spans="1:26" ht="15" customHeight="1">
      <c r="A19" s="310"/>
      <c r="B19" s="975"/>
      <c r="C19" s="428">
        <v>53</v>
      </c>
      <c r="D19" s="428">
        <v>55</v>
      </c>
      <c r="E19" s="428">
        <v>57</v>
      </c>
      <c r="F19" s="428">
        <v>59</v>
      </c>
      <c r="G19" s="428">
        <v>61</v>
      </c>
      <c r="H19" s="975"/>
      <c r="I19" s="428">
        <v>53</v>
      </c>
      <c r="J19" s="428">
        <v>55</v>
      </c>
      <c r="K19" s="428">
        <v>57</v>
      </c>
      <c r="L19" s="428">
        <v>59</v>
      </c>
      <c r="M19" s="428">
        <v>61</v>
      </c>
      <c r="N19" s="975"/>
      <c r="O19" s="428">
        <v>53</v>
      </c>
      <c r="P19" s="428">
        <v>55</v>
      </c>
      <c r="Q19" s="428">
        <v>57</v>
      </c>
      <c r="R19" s="428">
        <v>59</v>
      </c>
      <c r="S19" s="428">
        <v>61</v>
      </c>
      <c r="T19" s="975"/>
      <c r="U19" s="428">
        <v>53</v>
      </c>
      <c r="V19" s="428">
        <v>55</v>
      </c>
      <c r="W19" s="428">
        <v>57</v>
      </c>
      <c r="X19" s="428">
        <v>59</v>
      </c>
      <c r="Y19" s="428">
        <v>61</v>
      </c>
      <c r="Z19" s="310"/>
    </row>
    <row r="20" spans="1:26" ht="15" customHeight="1">
      <c r="A20" s="310"/>
      <c r="B20" s="429">
        <v>0</v>
      </c>
      <c r="C20" s="320">
        <v>53</v>
      </c>
      <c r="D20" s="320">
        <v>55</v>
      </c>
      <c r="E20" s="320">
        <v>57</v>
      </c>
      <c r="F20" s="320">
        <v>59</v>
      </c>
      <c r="G20" s="320">
        <v>61</v>
      </c>
      <c r="H20" s="429">
        <v>36</v>
      </c>
      <c r="I20" s="320">
        <v>42.9</v>
      </c>
      <c r="J20" s="320">
        <v>44.5</v>
      </c>
      <c r="K20" s="320">
        <v>46.1</v>
      </c>
      <c r="L20" s="320">
        <v>47.7</v>
      </c>
      <c r="M20" s="320">
        <v>49.4</v>
      </c>
      <c r="N20" s="429">
        <v>64</v>
      </c>
      <c r="O20" s="320">
        <v>23.2</v>
      </c>
      <c r="P20" s="320">
        <v>24.1</v>
      </c>
      <c r="Q20" s="320">
        <v>25</v>
      </c>
      <c r="R20" s="320">
        <v>25.9</v>
      </c>
      <c r="S20" s="320">
        <v>26.7</v>
      </c>
      <c r="T20" s="429">
        <v>83</v>
      </c>
      <c r="U20" s="320">
        <v>6.5</v>
      </c>
      <c r="V20" s="320">
        <v>6.7</v>
      </c>
      <c r="W20" s="320">
        <v>6.9</v>
      </c>
      <c r="X20" s="320">
        <v>7.2</v>
      </c>
      <c r="Y20" s="320">
        <v>7.4</v>
      </c>
      <c r="Z20" s="310"/>
    </row>
    <row r="21" spans="1:26" ht="15" customHeight="1">
      <c r="A21" s="310"/>
      <c r="B21" s="430">
        <v>5</v>
      </c>
      <c r="C21" s="326">
        <v>52.8</v>
      </c>
      <c r="D21" s="326">
        <v>54.8</v>
      </c>
      <c r="E21" s="326">
        <v>56.8</v>
      </c>
      <c r="F21" s="326">
        <v>58.8</v>
      </c>
      <c r="G21" s="326">
        <v>60.8</v>
      </c>
      <c r="H21" s="430">
        <v>40</v>
      </c>
      <c r="I21" s="326">
        <v>40.6</v>
      </c>
      <c r="J21" s="326">
        <v>42.1</v>
      </c>
      <c r="K21" s="326">
        <v>43.7</v>
      </c>
      <c r="L21" s="326">
        <v>45.2</v>
      </c>
      <c r="M21" s="326">
        <v>46.7</v>
      </c>
      <c r="N21" s="430">
        <v>67</v>
      </c>
      <c r="O21" s="326">
        <v>20.7</v>
      </c>
      <c r="P21" s="326">
        <v>21.5</v>
      </c>
      <c r="Q21" s="326">
        <v>22.3</v>
      </c>
      <c r="R21" s="326">
        <v>23.1</v>
      </c>
      <c r="S21" s="326">
        <v>23.8</v>
      </c>
      <c r="T21" s="430">
        <v>84</v>
      </c>
      <c r="U21" s="326">
        <v>5.5</v>
      </c>
      <c r="V21" s="326">
        <v>5.7</v>
      </c>
      <c r="W21" s="326">
        <v>6</v>
      </c>
      <c r="X21" s="326">
        <v>6.2</v>
      </c>
      <c r="Y21" s="326">
        <v>6.4</v>
      </c>
      <c r="Z21" s="310"/>
    </row>
    <row r="22" spans="1:26" ht="15" customHeight="1">
      <c r="A22" s="310"/>
      <c r="B22" s="430">
        <v>10</v>
      </c>
      <c r="C22" s="326">
        <v>52.2</v>
      </c>
      <c r="D22" s="326">
        <v>54.2</v>
      </c>
      <c r="E22" s="326">
        <v>56.1</v>
      </c>
      <c r="F22" s="326">
        <v>58.1</v>
      </c>
      <c r="G22" s="326">
        <v>60.1</v>
      </c>
      <c r="H22" s="430">
        <v>44</v>
      </c>
      <c r="I22" s="326">
        <v>38.1</v>
      </c>
      <c r="J22" s="326">
        <v>39.6</v>
      </c>
      <c r="K22" s="326">
        <v>41</v>
      </c>
      <c r="L22" s="326">
        <v>42.4</v>
      </c>
      <c r="M22" s="326">
        <v>43.9</v>
      </c>
      <c r="N22" s="430">
        <v>70</v>
      </c>
      <c r="O22" s="326">
        <v>18.1</v>
      </c>
      <c r="P22" s="326">
        <v>18.8</v>
      </c>
      <c r="Q22" s="326">
        <v>19.5</v>
      </c>
      <c r="R22" s="326">
        <v>20.2</v>
      </c>
      <c r="S22" s="326">
        <v>20.9</v>
      </c>
      <c r="T22" s="430">
        <v>85</v>
      </c>
      <c r="U22" s="326">
        <v>4.6</v>
      </c>
      <c r="V22" s="326">
        <v>4.8</v>
      </c>
      <c r="W22" s="326">
        <v>5</v>
      </c>
      <c r="X22" s="326">
        <v>5.1</v>
      </c>
      <c r="Y22" s="326">
        <v>5.3</v>
      </c>
      <c r="Z22" s="310"/>
    </row>
    <row r="23" spans="1:26" ht="15" customHeight="1">
      <c r="A23" s="310"/>
      <c r="B23" s="430">
        <v>15</v>
      </c>
      <c r="C23" s="326">
        <v>51.2</v>
      </c>
      <c r="D23" s="326">
        <v>53.1</v>
      </c>
      <c r="E23" s="326">
        <v>55.1</v>
      </c>
      <c r="F23" s="326">
        <v>57</v>
      </c>
      <c r="G23" s="326">
        <v>58.9</v>
      </c>
      <c r="H23" s="430">
        <v>48</v>
      </c>
      <c r="I23" s="326">
        <v>35.5</v>
      </c>
      <c r="J23" s="326">
        <v>36.8</v>
      </c>
      <c r="K23" s="326">
        <v>38.1</v>
      </c>
      <c r="L23" s="326">
        <v>39.5</v>
      </c>
      <c r="M23" s="326">
        <v>40.8</v>
      </c>
      <c r="N23" s="430">
        <v>74</v>
      </c>
      <c r="O23" s="326">
        <v>14.6</v>
      </c>
      <c r="P23" s="326">
        <v>15.2</v>
      </c>
      <c r="Q23" s="326">
        <v>15.7</v>
      </c>
      <c r="R23" s="326">
        <v>16.3</v>
      </c>
      <c r="S23" s="326">
        <v>16.8</v>
      </c>
      <c r="T23" s="430">
        <v>86</v>
      </c>
      <c r="U23" s="326">
        <v>3.7</v>
      </c>
      <c r="V23" s="326">
        <v>3.8</v>
      </c>
      <c r="W23" s="326">
        <v>4</v>
      </c>
      <c r="X23" s="326">
        <v>4.1</v>
      </c>
      <c r="Y23" s="326">
        <v>4.3</v>
      </c>
      <c r="Z23" s="310"/>
    </row>
    <row r="24" spans="1:26" ht="15" customHeight="1">
      <c r="A24" s="310"/>
      <c r="B24" s="430">
        <v>20</v>
      </c>
      <c r="C24" s="326">
        <v>49.8</v>
      </c>
      <c r="D24" s="326">
        <v>51.7</v>
      </c>
      <c r="E24" s="326">
        <v>53.6</v>
      </c>
      <c r="F24" s="326">
        <v>55.4</v>
      </c>
      <c r="G24" s="326">
        <v>57.3</v>
      </c>
      <c r="H24" s="430">
        <v>52</v>
      </c>
      <c r="I24" s="326">
        <v>32.6</v>
      </c>
      <c r="J24" s="326">
        <v>33.9</v>
      </c>
      <c r="K24" s="326">
        <v>35.1</v>
      </c>
      <c r="L24" s="326">
        <v>36.3</v>
      </c>
      <c r="M24" s="326">
        <v>37.6</v>
      </c>
      <c r="N24" s="430">
        <v>78</v>
      </c>
      <c r="O24" s="326">
        <v>11</v>
      </c>
      <c r="P24" s="326">
        <v>11.4</v>
      </c>
      <c r="Q24" s="326">
        <v>11.9</v>
      </c>
      <c r="R24" s="326">
        <v>12.3</v>
      </c>
      <c r="S24" s="326">
        <v>12.7</v>
      </c>
      <c r="T24" s="430">
        <v>87</v>
      </c>
      <c r="U24" s="326">
        <v>2.8</v>
      </c>
      <c r="V24" s="326">
        <v>2.9</v>
      </c>
      <c r="W24" s="326">
        <v>3</v>
      </c>
      <c r="X24" s="326">
        <v>3.1</v>
      </c>
      <c r="Y24" s="326">
        <v>3.2</v>
      </c>
      <c r="Z24" s="310"/>
    </row>
    <row r="25" spans="1:26" ht="15" customHeight="1">
      <c r="A25" s="310"/>
      <c r="B25" s="430">
        <v>24</v>
      </c>
      <c r="C25" s="326">
        <v>48.4</v>
      </c>
      <c r="D25" s="326">
        <v>50.2</v>
      </c>
      <c r="E25" s="326">
        <v>52.1</v>
      </c>
      <c r="F25" s="326">
        <v>53.9</v>
      </c>
      <c r="G25" s="326">
        <v>55.7</v>
      </c>
      <c r="H25" s="430">
        <v>55</v>
      </c>
      <c r="I25" s="326">
        <v>30.4</v>
      </c>
      <c r="J25" s="326">
        <v>31.5</v>
      </c>
      <c r="K25" s="326">
        <v>32.7</v>
      </c>
      <c r="L25" s="326">
        <v>33.8</v>
      </c>
      <c r="M25" s="326">
        <v>35</v>
      </c>
      <c r="N25" s="430">
        <v>80</v>
      </c>
      <c r="O25" s="326">
        <v>9.2</v>
      </c>
      <c r="P25" s="326">
        <v>9.6</v>
      </c>
      <c r="Q25" s="326">
        <v>9.9</v>
      </c>
      <c r="R25" s="326">
        <v>10.2</v>
      </c>
      <c r="S25" s="326">
        <v>10.6</v>
      </c>
      <c r="T25" s="430">
        <v>88</v>
      </c>
      <c r="U25" s="326">
        <v>1.8</v>
      </c>
      <c r="V25" s="326">
        <v>1.9</v>
      </c>
      <c r="W25" s="326">
        <v>2</v>
      </c>
      <c r="X25" s="326">
        <v>2.1</v>
      </c>
      <c r="Y25" s="326">
        <v>2.1</v>
      </c>
      <c r="Z25" s="310"/>
    </row>
    <row r="26" spans="1:26" ht="15" customHeight="1">
      <c r="A26" s="310"/>
      <c r="B26" s="430">
        <v>28</v>
      </c>
      <c r="C26" s="326">
        <v>46.8</v>
      </c>
      <c r="D26" s="326">
        <v>48.6</v>
      </c>
      <c r="E26" s="326">
        <v>50.3</v>
      </c>
      <c r="F26" s="326">
        <v>52.1</v>
      </c>
      <c r="G26" s="326">
        <v>53.9</v>
      </c>
      <c r="H26" s="430">
        <v>58</v>
      </c>
      <c r="I26" s="326">
        <v>28.1</v>
      </c>
      <c r="J26" s="326">
        <v>29.1</v>
      </c>
      <c r="K26" s="326">
        <v>30.2</v>
      </c>
      <c r="L26" s="326">
        <v>31.3</v>
      </c>
      <c r="M26" s="326">
        <v>32.3</v>
      </c>
      <c r="N26" s="430">
        <v>81</v>
      </c>
      <c r="O26" s="326">
        <v>8.3</v>
      </c>
      <c r="P26" s="326">
        <v>8.6</v>
      </c>
      <c r="Q26" s="326">
        <v>8.9</v>
      </c>
      <c r="R26" s="326">
        <v>9.2</v>
      </c>
      <c r="S26" s="326">
        <v>9.5</v>
      </c>
      <c r="T26" s="430">
        <v>89</v>
      </c>
      <c r="U26" s="326">
        <v>0.9</v>
      </c>
      <c r="V26" s="326">
        <v>1</v>
      </c>
      <c r="W26" s="326">
        <v>1</v>
      </c>
      <c r="X26" s="326">
        <v>1</v>
      </c>
      <c r="Y26" s="326">
        <v>1</v>
      </c>
      <c r="Z26" s="310"/>
    </row>
    <row r="27" spans="1:26" ht="15" customHeight="1">
      <c r="A27" s="310"/>
      <c r="B27" s="431">
        <v>32</v>
      </c>
      <c r="C27" s="329">
        <v>44.9</v>
      </c>
      <c r="D27" s="329">
        <v>46.6</v>
      </c>
      <c r="E27" s="329">
        <v>48.3</v>
      </c>
      <c r="F27" s="329">
        <v>50</v>
      </c>
      <c r="G27" s="329">
        <v>51.7</v>
      </c>
      <c r="H27" s="431">
        <v>61</v>
      </c>
      <c r="I27" s="329">
        <v>25.7</v>
      </c>
      <c r="J27" s="329">
        <v>26.7</v>
      </c>
      <c r="K27" s="329">
        <v>27.6</v>
      </c>
      <c r="L27" s="329">
        <v>28.6</v>
      </c>
      <c r="M27" s="329">
        <v>29.6</v>
      </c>
      <c r="N27" s="431">
        <v>82</v>
      </c>
      <c r="O27" s="329">
        <v>7.4</v>
      </c>
      <c r="P27" s="329">
        <v>7.7</v>
      </c>
      <c r="Q27" s="329">
        <v>7.9</v>
      </c>
      <c r="R27" s="329">
        <v>8.2</v>
      </c>
      <c r="S27" s="329">
        <v>8.5</v>
      </c>
      <c r="T27" s="431">
        <v>90</v>
      </c>
      <c r="U27" s="329">
        <v>0</v>
      </c>
      <c r="V27" s="329">
        <v>0</v>
      </c>
      <c r="W27" s="329">
        <v>0</v>
      </c>
      <c r="X27" s="329">
        <v>0</v>
      </c>
      <c r="Y27" s="329">
        <v>0</v>
      </c>
      <c r="Z27" s="310"/>
    </row>
    <row r="28" spans="1:26" ht="15" customHeight="1">
      <c r="A28" s="310"/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310"/>
    </row>
    <row r="29" spans="1:26" ht="15" customHeight="1">
      <c r="A29" s="310"/>
      <c r="B29" s="424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310"/>
    </row>
    <row r="30" spans="1:26" ht="19.5" customHeight="1">
      <c r="A30" s="310"/>
      <c r="B30" s="972" t="s">
        <v>400</v>
      </c>
      <c r="C30" s="972"/>
      <c r="D30" s="972"/>
      <c r="E30" s="972"/>
      <c r="F30" s="972"/>
      <c r="G30" s="972"/>
      <c r="H30" s="972"/>
      <c r="I30" s="972"/>
      <c r="J30" s="972"/>
      <c r="K30" s="972"/>
      <c r="L30" s="972"/>
      <c r="M30" s="972"/>
      <c r="N30" s="972"/>
      <c r="O30" s="972"/>
      <c r="P30" s="972"/>
      <c r="Q30" s="972"/>
      <c r="R30" s="972"/>
      <c r="S30" s="972"/>
      <c r="T30" s="972"/>
      <c r="U30" s="972"/>
      <c r="V30" s="972"/>
      <c r="W30" s="972"/>
      <c r="X30" s="972"/>
      <c r="Y30" s="972"/>
      <c r="Z30" s="310"/>
    </row>
    <row r="31" spans="1:26" ht="15" customHeight="1">
      <c r="A31" s="310"/>
      <c r="B31" s="989" t="s">
        <v>396</v>
      </c>
      <c r="C31" s="990"/>
      <c r="D31" s="920" t="s">
        <v>399</v>
      </c>
      <c r="E31" s="993"/>
      <c r="F31" s="993"/>
      <c r="G31" s="993"/>
      <c r="H31" s="993"/>
      <c r="I31" s="921"/>
      <c r="J31" s="989" t="s">
        <v>396</v>
      </c>
      <c r="K31" s="990"/>
      <c r="L31" s="920" t="s">
        <v>399</v>
      </c>
      <c r="M31" s="993"/>
      <c r="N31" s="993"/>
      <c r="O31" s="993"/>
      <c r="P31" s="993"/>
      <c r="Q31" s="921"/>
      <c r="R31" s="989" t="s">
        <v>396</v>
      </c>
      <c r="S31" s="990"/>
      <c r="T31" s="920" t="s">
        <v>399</v>
      </c>
      <c r="U31" s="993"/>
      <c r="V31" s="993"/>
      <c r="W31" s="993"/>
      <c r="X31" s="993"/>
      <c r="Y31" s="921"/>
      <c r="Z31" s="310"/>
    </row>
    <row r="32" spans="1:26" ht="15" customHeight="1">
      <c r="A32" s="310"/>
      <c r="B32" s="991"/>
      <c r="C32" s="992"/>
      <c r="D32" s="432">
        <v>14.5</v>
      </c>
      <c r="E32" s="432">
        <v>15</v>
      </c>
      <c r="F32" s="432">
        <v>15.5</v>
      </c>
      <c r="G32" s="432">
        <v>16</v>
      </c>
      <c r="H32" s="432">
        <v>16.5</v>
      </c>
      <c r="I32" s="432">
        <v>17</v>
      </c>
      <c r="J32" s="991"/>
      <c r="K32" s="992"/>
      <c r="L32" s="432">
        <v>14.5</v>
      </c>
      <c r="M32" s="432">
        <v>15</v>
      </c>
      <c r="N32" s="432">
        <v>15.5</v>
      </c>
      <c r="O32" s="432">
        <v>16</v>
      </c>
      <c r="P32" s="432">
        <v>16.5</v>
      </c>
      <c r="Q32" s="432">
        <v>17</v>
      </c>
      <c r="R32" s="991"/>
      <c r="S32" s="992"/>
      <c r="T32" s="432">
        <v>14.5</v>
      </c>
      <c r="U32" s="432">
        <v>15</v>
      </c>
      <c r="V32" s="432">
        <v>15.5</v>
      </c>
      <c r="W32" s="432">
        <v>16</v>
      </c>
      <c r="X32" s="432">
        <v>16.5</v>
      </c>
      <c r="Y32" s="432">
        <v>17</v>
      </c>
      <c r="Z32" s="310"/>
    </row>
    <row r="33" spans="1:26" ht="15" customHeight="1">
      <c r="A33" s="310"/>
      <c r="B33" s="968">
        <v>0</v>
      </c>
      <c r="C33" s="969"/>
      <c r="D33" s="433">
        <v>0</v>
      </c>
      <c r="E33" s="433">
        <v>0</v>
      </c>
      <c r="F33" s="433">
        <v>0</v>
      </c>
      <c r="G33" s="433">
        <v>0</v>
      </c>
      <c r="H33" s="433">
        <v>0</v>
      </c>
      <c r="I33" s="433">
        <v>0</v>
      </c>
      <c r="J33" s="968">
        <v>18</v>
      </c>
      <c r="K33" s="969"/>
      <c r="L33" s="433">
        <v>4.2</v>
      </c>
      <c r="M33" s="433">
        <v>4.5</v>
      </c>
      <c r="N33" s="433">
        <v>4.8</v>
      </c>
      <c r="O33" s="433">
        <v>5.1</v>
      </c>
      <c r="P33" s="433">
        <v>5.5</v>
      </c>
      <c r="Q33" s="433">
        <v>5.8</v>
      </c>
      <c r="R33" s="968">
        <v>45</v>
      </c>
      <c r="S33" s="969"/>
      <c r="T33" s="433">
        <v>9.7</v>
      </c>
      <c r="U33" s="433">
        <v>10.3</v>
      </c>
      <c r="V33" s="433">
        <v>11.1</v>
      </c>
      <c r="W33" s="433">
        <v>11.8</v>
      </c>
      <c r="X33" s="433">
        <v>12.5</v>
      </c>
      <c r="Y33" s="433">
        <v>13.3</v>
      </c>
      <c r="Z33" s="310"/>
    </row>
    <row r="34" spans="1:26" ht="15" customHeight="1">
      <c r="A34" s="310"/>
      <c r="B34" s="970">
        <v>2</v>
      </c>
      <c r="C34" s="971"/>
      <c r="D34" s="434">
        <v>0.5</v>
      </c>
      <c r="E34" s="434">
        <v>0.5</v>
      </c>
      <c r="F34" s="434">
        <v>0.5</v>
      </c>
      <c r="G34" s="434">
        <v>0.6</v>
      </c>
      <c r="H34" s="434">
        <v>0.6</v>
      </c>
      <c r="I34" s="434">
        <v>0.7</v>
      </c>
      <c r="J34" s="970">
        <v>21</v>
      </c>
      <c r="K34" s="971"/>
      <c r="L34" s="434">
        <v>4.9</v>
      </c>
      <c r="M34" s="434">
        <v>5.2</v>
      </c>
      <c r="N34" s="434">
        <v>5.6</v>
      </c>
      <c r="O34" s="434">
        <v>6</v>
      </c>
      <c r="P34" s="434">
        <v>6.4</v>
      </c>
      <c r="Q34" s="434">
        <v>6.7</v>
      </c>
      <c r="R34" s="970">
        <v>48</v>
      </c>
      <c r="S34" s="971"/>
      <c r="T34" s="434">
        <v>10.2</v>
      </c>
      <c r="U34" s="434">
        <v>10.9</v>
      </c>
      <c r="V34" s="434">
        <v>11.6</v>
      </c>
      <c r="W34" s="434">
        <v>12.4</v>
      </c>
      <c r="X34" s="434">
        <v>13.2</v>
      </c>
      <c r="Y34" s="434">
        <v>14</v>
      </c>
      <c r="Z34" s="310"/>
    </row>
    <row r="35" spans="1:26" ht="15" customHeight="1">
      <c r="A35" s="310"/>
      <c r="B35" s="970">
        <v>4</v>
      </c>
      <c r="C35" s="971"/>
      <c r="D35" s="434">
        <v>1</v>
      </c>
      <c r="E35" s="434">
        <v>1</v>
      </c>
      <c r="F35" s="434">
        <v>1.1</v>
      </c>
      <c r="G35" s="434">
        <v>1.2</v>
      </c>
      <c r="H35" s="434">
        <v>1.2</v>
      </c>
      <c r="I35" s="434">
        <v>1.3</v>
      </c>
      <c r="J35" s="970">
        <v>24</v>
      </c>
      <c r="K35" s="971"/>
      <c r="L35" s="434">
        <v>5.6</v>
      </c>
      <c r="M35" s="434">
        <v>6</v>
      </c>
      <c r="N35" s="434">
        <v>6.4</v>
      </c>
      <c r="O35" s="434">
        <v>6.8</v>
      </c>
      <c r="P35" s="434">
        <v>7.2</v>
      </c>
      <c r="Q35" s="434">
        <v>7.7</v>
      </c>
      <c r="R35" s="970">
        <v>51</v>
      </c>
      <c r="S35" s="971"/>
      <c r="T35" s="434">
        <v>10.6</v>
      </c>
      <c r="U35" s="434">
        <v>11.4</v>
      </c>
      <c r="V35" s="434">
        <v>12.1</v>
      </c>
      <c r="W35" s="434">
        <v>12.9</v>
      </c>
      <c r="X35" s="434">
        <v>13.8</v>
      </c>
      <c r="Y35" s="434">
        <v>14.6</v>
      </c>
      <c r="Z35" s="310"/>
    </row>
    <row r="36" spans="1:26" ht="15" customHeight="1">
      <c r="A36" s="310"/>
      <c r="B36" s="970">
        <v>6</v>
      </c>
      <c r="C36" s="971"/>
      <c r="D36" s="434">
        <v>1.4</v>
      </c>
      <c r="E36" s="434">
        <v>1.5</v>
      </c>
      <c r="F36" s="434">
        <v>1.6</v>
      </c>
      <c r="G36" s="434">
        <v>1.7</v>
      </c>
      <c r="H36" s="434">
        <v>1.9</v>
      </c>
      <c r="I36" s="434">
        <v>2</v>
      </c>
      <c r="J36" s="970">
        <v>27</v>
      </c>
      <c r="K36" s="971"/>
      <c r="L36" s="434">
        <v>6.2</v>
      </c>
      <c r="M36" s="434">
        <v>6.6</v>
      </c>
      <c r="N36" s="434">
        <v>7.1</v>
      </c>
      <c r="O36" s="434">
        <v>7.6</v>
      </c>
      <c r="P36" s="434">
        <v>8</v>
      </c>
      <c r="Q36" s="434">
        <v>8.5</v>
      </c>
      <c r="R36" s="970">
        <v>54</v>
      </c>
      <c r="S36" s="971"/>
      <c r="T36" s="434">
        <v>11.1</v>
      </c>
      <c r="U36" s="434">
        <v>11.8</v>
      </c>
      <c r="V36" s="434">
        <v>12.6</v>
      </c>
      <c r="W36" s="434">
        <v>13.5</v>
      </c>
      <c r="X36" s="434">
        <v>14.3</v>
      </c>
      <c r="Y36" s="434">
        <v>15.2</v>
      </c>
      <c r="Z36" s="310"/>
    </row>
    <row r="37" spans="1:26" ht="15" customHeight="1">
      <c r="A37" s="310"/>
      <c r="B37" s="970">
        <v>8</v>
      </c>
      <c r="C37" s="971"/>
      <c r="D37" s="434">
        <v>1.9</v>
      </c>
      <c r="E37" s="434">
        <v>2</v>
      </c>
      <c r="F37" s="434">
        <v>2.2</v>
      </c>
      <c r="G37" s="434">
        <v>2.3</v>
      </c>
      <c r="H37" s="434">
        <v>2.5</v>
      </c>
      <c r="I37" s="434">
        <v>2.6</v>
      </c>
      <c r="J37" s="970">
        <v>30</v>
      </c>
      <c r="K37" s="971"/>
      <c r="L37" s="434">
        <v>6.8</v>
      </c>
      <c r="M37" s="434">
        <v>7.3</v>
      </c>
      <c r="N37" s="434">
        <v>7.8</v>
      </c>
      <c r="O37" s="434">
        <v>8.3</v>
      </c>
      <c r="P37" s="434">
        <v>8.9</v>
      </c>
      <c r="Q37" s="434">
        <v>9.4</v>
      </c>
      <c r="R37" s="970">
        <v>57</v>
      </c>
      <c r="S37" s="971"/>
      <c r="T37" s="434">
        <v>11.5</v>
      </c>
      <c r="U37" s="434">
        <v>12.3</v>
      </c>
      <c r="V37" s="434">
        <v>13.1</v>
      </c>
      <c r="W37" s="434">
        <v>14</v>
      </c>
      <c r="X37" s="434">
        <v>14.9</v>
      </c>
      <c r="Y37" s="434">
        <v>15.8</v>
      </c>
      <c r="Z37" s="310"/>
    </row>
    <row r="38" spans="1:26" ht="15" customHeight="1">
      <c r="A38" s="310"/>
      <c r="B38" s="970">
        <v>10</v>
      </c>
      <c r="C38" s="971"/>
      <c r="D38" s="434">
        <v>2.4</v>
      </c>
      <c r="E38" s="434">
        <v>2.5</v>
      </c>
      <c r="F38" s="434">
        <v>2.7</v>
      </c>
      <c r="G38" s="434">
        <v>2.9</v>
      </c>
      <c r="H38" s="434">
        <v>3.1</v>
      </c>
      <c r="I38" s="434">
        <v>3.3</v>
      </c>
      <c r="J38" s="970">
        <v>33</v>
      </c>
      <c r="K38" s="971"/>
      <c r="L38" s="434">
        <v>7.4</v>
      </c>
      <c r="M38" s="434">
        <v>8</v>
      </c>
      <c r="N38" s="434">
        <v>8.5</v>
      </c>
      <c r="O38" s="434">
        <v>9.1</v>
      </c>
      <c r="P38" s="434">
        <v>9.7</v>
      </c>
      <c r="Q38" s="434">
        <v>10.3</v>
      </c>
      <c r="R38" s="970">
        <v>63</v>
      </c>
      <c r="S38" s="971"/>
      <c r="T38" s="434">
        <v>12.2</v>
      </c>
      <c r="U38" s="434">
        <v>13</v>
      </c>
      <c r="V38" s="434">
        <v>13.9</v>
      </c>
      <c r="W38" s="434">
        <v>14.8</v>
      </c>
      <c r="X38" s="434">
        <v>15.8</v>
      </c>
      <c r="Y38" s="434">
        <v>16.8</v>
      </c>
      <c r="Z38" s="310"/>
    </row>
    <row r="39" spans="1:26" ht="15" customHeight="1">
      <c r="A39" s="310"/>
      <c r="B39" s="970">
        <v>12</v>
      </c>
      <c r="C39" s="971"/>
      <c r="D39" s="434">
        <v>2.8</v>
      </c>
      <c r="E39" s="434">
        <v>3</v>
      </c>
      <c r="F39" s="434">
        <v>3.2</v>
      </c>
      <c r="G39" s="434">
        <v>3.5</v>
      </c>
      <c r="H39" s="434">
        <v>3.7</v>
      </c>
      <c r="I39" s="434">
        <v>3.9</v>
      </c>
      <c r="J39" s="970">
        <v>36</v>
      </c>
      <c r="K39" s="971"/>
      <c r="L39" s="434">
        <v>8</v>
      </c>
      <c r="M39" s="434">
        <v>8.6</v>
      </c>
      <c r="N39" s="434">
        <v>9.2</v>
      </c>
      <c r="O39" s="434">
        <v>9.8</v>
      </c>
      <c r="P39" s="434">
        <v>10.4</v>
      </c>
      <c r="Q39" s="434">
        <v>11.1</v>
      </c>
      <c r="R39" s="970">
        <v>70</v>
      </c>
      <c r="S39" s="971"/>
      <c r="T39" s="434">
        <v>12.8</v>
      </c>
      <c r="U39" s="434">
        <v>13.7</v>
      </c>
      <c r="V39" s="434">
        <v>14.7</v>
      </c>
      <c r="W39" s="434">
        <v>15.7</v>
      </c>
      <c r="X39" s="434">
        <v>16.7</v>
      </c>
      <c r="Y39" s="434">
        <v>17.7</v>
      </c>
      <c r="Z39" s="310"/>
    </row>
    <row r="40" spans="1:26" ht="15" customHeight="1">
      <c r="A40" s="310"/>
      <c r="B40" s="970">
        <v>14</v>
      </c>
      <c r="C40" s="971"/>
      <c r="D40" s="434">
        <v>3.3</v>
      </c>
      <c r="E40" s="434">
        <v>3.5</v>
      </c>
      <c r="F40" s="434">
        <v>3.8</v>
      </c>
      <c r="G40" s="434">
        <v>4</v>
      </c>
      <c r="H40" s="434">
        <v>4.3</v>
      </c>
      <c r="I40" s="434">
        <v>4.6</v>
      </c>
      <c r="J40" s="970">
        <v>39</v>
      </c>
      <c r="K40" s="971"/>
      <c r="L40" s="434">
        <v>8.6</v>
      </c>
      <c r="M40" s="434">
        <v>9.2</v>
      </c>
      <c r="N40" s="434">
        <v>9.8</v>
      </c>
      <c r="O40" s="434">
        <v>10.5</v>
      </c>
      <c r="P40" s="434">
        <v>11.2</v>
      </c>
      <c r="Q40" s="434">
        <v>11.9</v>
      </c>
      <c r="R40" s="970">
        <v>78</v>
      </c>
      <c r="S40" s="971"/>
      <c r="T40" s="434">
        <v>13.4</v>
      </c>
      <c r="U40" s="434">
        <v>14.3</v>
      </c>
      <c r="V40" s="434">
        <v>15.3</v>
      </c>
      <c r="W40" s="434">
        <v>16.3</v>
      </c>
      <c r="X40" s="434">
        <v>17.3</v>
      </c>
      <c r="Y40" s="434">
        <v>18.4</v>
      </c>
      <c r="Z40" s="310"/>
    </row>
    <row r="41" spans="1:26" ht="15" customHeight="1">
      <c r="A41" s="310"/>
      <c r="B41" s="966">
        <v>16</v>
      </c>
      <c r="C41" s="967"/>
      <c r="D41" s="435">
        <v>3.8</v>
      </c>
      <c r="E41" s="435">
        <v>4</v>
      </c>
      <c r="F41" s="435">
        <v>4.3</v>
      </c>
      <c r="G41" s="435">
        <v>4.6</v>
      </c>
      <c r="H41" s="435">
        <v>4.9</v>
      </c>
      <c r="I41" s="435">
        <v>5.2</v>
      </c>
      <c r="J41" s="966">
        <v>42</v>
      </c>
      <c r="K41" s="967"/>
      <c r="L41" s="435">
        <v>9.1</v>
      </c>
      <c r="M41" s="435">
        <v>9.8</v>
      </c>
      <c r="N41" s="435">
        <v>10.5</v>
      </c>
      <c r="O41" s="435">
        <v>11.1</v>
      </c>
      <c r="P41" s="435">
        <v>11.9</v>
      </c>
      <c r="Q41" s="435">
        <v>12.6</v>
      </c>
      <c r="R41" s="966">
        <v>90</v>
      </c>
      <c r="S41" s="967"/>
      <c r="T41" s="435">
        <v>13.7</v>
      </c>
      <c r="U41" s="435">
        <v>14.6</v>
      </c>
      <c r="V41" s="435">
        <v>15.6</v>
      </c>
      <c r="W41" s="435">
        <v>16.7</v>
      </c>
      <c r="X41" s="435">
        <v>17.7</v>
      </c>
      <c r="Y41" s="435">
        <v>18.8</v>
      </c>
      <c r="Z41" s="310"/>
    </row>
    <row r="42" spans="1:26" ht="9" customHeight="1">
      <c r="A42" s="310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</row>
    <row r="43" spans="1:26" s="436" customFormat="1" ht="19.5" customHeight="1">
      <c r="A43" s="358"/>
      <c r="B43" s="994" t="s">
        <v>405</v>
      </c>
      <c r="C43" s="994"/>
      <c r="D43" s="994"/>
      <c r="E43" s="994"/>
      <c r="F43" s="994"/>
      <c r="G43" s="994"/>
      <c r="H43" s="994"/>
      <c r="I43" s="994"/>
      <c r="J43" s="994"/>
      <c r="K43" s="994"/>
      <c r="L43" s="994"/>
      <c r="M43" s="994"/>
      <c r="N43" s="994"/>
      <c r="O43" s="994"/>
      <c r="P43" s="994"/>
      <c r="Q43" s="994"/>
      <c r="R43" s="994"/>
      <c r="S43" s="994"/>
      <c r="T43" s="994"/>
      <c r="U43" s="994"/>
      <c r="V43" s="994"/>
      <c r="W43" s="994"/>
      <c r="X43" s="994"/>
      <c r="Y43" s="994"/>
      <c r="Z43" s="358"/>
    </row>
    <row r="44" spans="1:26" s="436" customFormat="1" ht="15" customHeight="1">
      <c r="A44" s="358"/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439" t="s">
        <v>410</v>
      </c>
      <c r="R44" s="358" t="s">
        <v>411</v>
      </c>
      <c r="S44" s="358"/>
      <c r="T44" s="358"/>
      <c r="U44" s="358"/>
      <c r="V44" s="358"/>
      <c r="W44" s="358"/>
      <c r="X44" s="358"/>
      <c r="Y44" s="358"/>
      <c r="Z44" s="358"/>
    </row>
    <row r="45" spans="1:26" s="436" customFormat="1" ht="15" customHeight="1">
      <c r="A45" s="358"/>
      <c r="B45" s="358"/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1" t="s">
        <v>409</v>
      </c>
      <c r="S45" s="440"/>
      <c r="T45" s="440"/>
      <c r="U45" s="440"/>
      <c r="V45" s="440"/>
      <c r="W45" s="440"/>
      <c r="X45" s="440"/>
      <c r="Y45" s="440"/>
      <c r="Z45" s="358"/>
    </row>
    <row r="46" spans="1:26" s="436" customFormat="1" ht="18.75">
      <c r="A46" s="358"/>
      <c r="B46" s="973" t="s">
        <v>407</v>
      </c>
      <c r="C46" s="973"/>
      <c r="D46" s="973"/>
      <c r="E46" s="973"/>
      <c r="F46" s="973"/>
      <c r="G46" s="973"/>
      <c r="H46" s="973"/>
      <c r="I46" s="973"/>
      <c r="J46" s="973"/>
      <c r="K46" s="973"/>
      <c r="L46" s="442"/>
      <c r="M46" s="442"/>
      <c r="N46" s="442"/>
      <c r="O46" s="442"/>
      <c r="P46" s="973" t="s">
        <v>408</v>
      </c>
      <c r="Q46" s="973"/>
      <c r="R46" s="973"/>
      <c r="S46" s="973"/>
      <c r="T46" s="973"/>
      <c r="U46" s="973"/>
      <c r="V46" s="973"/>
      <c r="W46" s="973"/>
      <c r="X46" s="973"/>
      <c r="Y46" s="973"/>
      <c r="Z46" s="358"/>
    </row>
    <row r="47" spans="1:26" s="436" customFormat="1" ht="18.75">
      <c r="A47" s="358"/>
      <c r="B47" s="974" t="s">
        <v>406</v>
      </c>
      <c r="C47" s="974"/>
      <c r="D47" s="974"/>
      <c r="E47" s="974"/>
      <c r="F47" s="974"/>
      <c r="G47" s="974"/>
      <c r="H47" s="974"/>
      <c r="I47" s="974"/>
      <c r="J47" s="974"/>
      <c r="K47" s="974"/>
      <c r="L47" s="358"/>
      <c r="M47" s="358"/>
      <c r="N47" s="358"/>
      <c r="O47" s="358"/>
      <c r="P47" s="974" t="s">
        <v>406</v>
      </c>
      <c r="Q47" s="974"/>
      <c r="R47" s="974"/>
      <c r="S47" s="974"/>
      <c r="T47" s="974"/>
      <c r="U47" s="974"/>
      <c r="V47" s="974"/>
      <c r="W47" s="974"/>
      <c r="X47" s="974"/>
      <c r="Y47" s="974"/>
      <c r="Z47" s="358"/>
    </row>
    <row r="48" spans="1:26" ht="15" customHeight="1">
      <c r="A48" s="310"/>
      <c r="B48" s="920" t="s">
        <v>358</v>
      </c>
      <c r="C48" s="921"/>
      <c r="D48" s="443">
        <v>54</v>
      </c>
      <c r="E48" s="443">
        <v>55</v>
      </c>
      <c r="F48" s="443">
        <v>56</v>
      </c>
      <c r="G48" s="443">
        <v>57</v>
      </c>
      <c r="H48" s="443">
        <v>58</v>
      </c>
      <c r="I48" s="443">
        <v>59</v>
      </c>
      <c r="J48" s="443">
        <v>60</v>
      </c>
      <c r="K48" s="444">
        <v>61</v>
      </c>
      <c r="L48" s="310"/>
      <c r="M48" s="310"/>
      <c r="N48" s="310"/>
      <c r="O48" s="310"/>
      <c r="P48" s="920" t="s">
        <v>358</v>
      </c>
      <c r="Q48" s="921"/>
      <c r="R48" s="445">
        <v>54</v>
      </c>
      <c r="S48" s="445">
        <v>55</v>
      </c>
      <c r="T48" s="445">
        <v>56</v>
      </c>
      <c r="U48" s="445">
        <v>57</v>
      </c>
      <c r="V48" s="445">
        <v>58</v>
      </c>
      <c r="W48" s="445">
        <v>59</v>
      </c>
      <c r="X48" s="445">
        <v>60</v>
      </c>
      <c r="Y48" s="446">
        <v>61</v>
      </c>
      <c r="Z48" s="310"/>
    </row>
    <row r="49" spans="1:26" ht="15" customHeight="1">
      <c r="A49" s="310"/>
      <c r="B49" s="968">
        <v>10</v>
      </c>
      <c r="C49" s="969"/>
      <c r="D49" s="447">
        <f>D48*COS(RADIANS(B49))-(1.002/TAN(RADIANS(B49+(7.31/(B49+4.4)))))-0.102*COS(RADIANS(B49))+0.2724*D48</f>
        <v>62.386479793342374</v>
      </c>
      <c r="E49" s="448">
        <v>63.643687546354585</v>
      </c>
      <c r="F49" s="448">
        <v>64.9008952993668</v>
      </c>
      <c r="G49" s="448">
        <v>66.15810305237899</v>
      </c>
      <c r="H49" s="448">
        <v>67.41531080539121</v>
      </c>
      <c r="I49" s="448">
        <v>68.67251855840341</v>
      </c>
      <c r="J49" s="448">
        <v>69.92972631141562</v>
      </c>
      <c r="K49" s="449">
        <v>71.18693406442783</v>
      </c>
      <c r="L49" s="310"/>
      <c r="M49" s="310">
        <f>D48*COS(RADIANS(B49))-(1.002/TAN(RADIANS(B49+(7.31/(B49+4.4)))))-0.102*COS(RADIANS(B49))+0.2724*D48</f>
        <v>62.386479793342374</v>
      </c>
      <c r="N49" s="310"/>
      <c r="O49" s="310"/>
      <c r="P49" s="968">
        <v>10</v>
      </c>
      <c r="Q49" s="996"/>
      <c r="R49" s="447">
        <f>D48*COS(RADIANS(B49))-(1.002/TAN(RADIANS(B49+(7.31/(B49+4.4)))))-0.102*COS(RADIANS(B49))-0.2724*D48</f>
        <v>32.96727979334237</v>
      </c>
      <c r="S49" s="448">
        <v>33.679687546354586</v>
      </c>
      <c r="T49" s="448">
        <v>34.392095299366794</v>
      </c>
      <c r="U49" s="448">
        <v>35.104503052379</v>
      </c>
      <c r="V49" s="448">
        <v>35.81691080539121</v>
      </c>
      <c r="W49" s="448">
        <v>36.52931855840342</v>
      </c>
      <c r="X49" s="448">
        <v>37.24172631141563</v>
      </c>
      <c r="Y49" s="449">
        <v>37.95413406442783</v>
      </c>
      <c r="Z49" s="310"/>
    </row>
    <row r="50" spans="1:26" ht="15" customHeight="1">
      <c r="A50" s="310"/>
      <c r="B50" s="970">
        <v>12</v>
      </c>
      <c r="C50" s="971"/>
      <c r="D50" s="450">
        <v>62.88972354444856</v>
      </c>
      <c r="E50" s="451">
        <v>64.14027114518237</v>
      </c>
      <c r="F50" s="451">
        <v>65.39081874591616</v>
      </c>
      <c r="G50" s="451">
        <v>66.64136634664997</v>
      </c>
      <c r="H50" s="451">
        <v>67.89191394738378</v>
      </c>
      <c r="I50" s="451">
        <v>69.14246154811758</v>
      </c>
      <c r="J50" s="451">
        <v>70.39300914885139</v>
      </c>
      <c r="K50" s="452">
        <v>71.6435567495852</v>
      </c>
      <c r="L50" s="310"/>
      <c r="M50" s="310"/>
      <c r="N50" s="310"/>
      <c r="O50" s="310"/>
      <c r="P50" s="970">
        <v>12</v>
      </c>
      <c r="Q50" s="995"/>
      <c r="R50" s="450">
        <v>33.470523544448554</v>
      </c>
      <c r="S50" s="451">
        <v>34.17627114518236</v>
      </c>
      <c r="T50" s="451">
        <v>34.88201874591617</v>
      </c>
      <c r="U50" s="451">
        <v>35.58776634664997</v>
      </c>
      <c r="V50" s="451">
        <v>36.29351394738378</v>
      </c>
      <c r="W50" s="451">
        <v>36.99926154811759</v>
      </c>
      <c r="X50" s="451">
        <v>37.70500914885139</v>
      </c>
      <c r="Y50" s="452">
        <v>38.4107567495852</v>
      </c>
      <c r="Z50" s="310"/>
    </row>
    <row r="51" spans="1:26" ht="15" customHeight="1">
      <c r="A51" s="310"/>
      <c r="B51" s="970">
        <v>14</v>
      </c>
      <c r="C51" s="971"/>
      <c r="D51" s="450">
        <v>63.10329818343298</v>
      </c>
      <c r="E51" s="451">
        <v>64.345993909709</v>
      </c>
      <c r="F51" s="451">
        <v>65.58868963598498</v>
      </c>
      <c r="G51" s="451">
        <v>66.83138536226097</v>
      </c>
      <c r="H51" s="451">
        <v>68.07408108853699</v>
      </c>
      <c r="I51" s="451">
        <v>69.31677681481297</v>
      </c>
      <c r="J51" s="451">
        <v>70.55947254108897</v>
      </c>
      <c r="K51" s="452">
        <v>71.80216826736496</v>
      </c>
      <c r="L51" s="310"/>
      <c r="M51" s="310"/>
      <c r="N51" s="310"/>
      <c r="O51" s="310"/>
      <c r="P51" s="970">
        <v>14</v>
      </c>
      <c r="Q51" s="995"/>
      <c r="R51" s="450">
        <v>33.684098183432994</v>
      </c>
      <c r="S51" s="451">
        <v>34.38199390970899</v>
      </c>
      <c r="T51" s="451">
        <v>35.07988963598498</v>
      </c>
      <c r="U51" s="451">
        <v>35.777785362260985</v>
      </c>
      <c r="V51" s="451">
        <v>36.47568108853698</v>
      </c>
      <c r="W51" s="451">
        <v>37.173576814812975</v>
      </c>
      <c r="X51" s="451">
        <v>37.87147254108898</v>
      </c>
      <c r="Y51" s="452">
        <v>38.569368267364965</v>
      </c>
      <c r="Z51" s="310"/>
    </row>
    <row r="52" spans="1:26" ht="15" customHeight="1">
      <c r="A52" s="310"/>
      <c r="B52" s="970">
        <v>16</v>
      </c>
      <c r="C52" s="971"/>
      <c r="D52" s="450">
        <v>63.106015496275944</v>
      </c>
      <c r="E52" s="451">
        <v>64.33967719221427</v>
      </c>
      <c r="F52" s="451">
        <v>65.57333888815259</v>
      </c>
      <c r="G52" s="451">
        <v>66.8070005840909</v>
      </c>
      <c r="H52" s="451">
        <v>68.04066228002922</v>
      </c>
      <c r="I52" s="451">
        <v>69.27432397596755</v>
      </c>
      <c r="J52" s="451">
        <v>70.50798567190586</v>
      </c>
      <c r="K52" s="452">
        <v>71.74164736784418</v>
      </c>
      <c r="L52" s="310"/>
      <c r="M52" s="310"/>
      <c r="N52" s="310"/>
      <c r="O52" s="310"/>
      <c r="P52" s="970">
        <v>16</v>
      </c>
      <c r="Q52" s="995"/>
      <c r="R52" s="450">
        <v>33.686815496275955</v>
      </c>
      <c r="S52" s="451">
        <v>34.37567719221427</v>
      </c>
      <c r="T52" s="451">
        <v>35.06453888815259</v>
      </c>
      <c r="U52" s="451">
        <v>35.75340058409091</v>
      </c>
      <c r="V52" s="451">
        <v>36.442262280029226</v>
      </c>
      <c r="W52" s="451">
        <v>37.13112397596754</v>
      </c>
      <c r="X52" s="451">
        <v>37.81998567190587</v>
      </c>
      <c r="Y52" s="452">
        <v>38.50884736784418</v>
      </c>
      <c r="Z52" s="310"/>
    </row>
    <row r="53" spans="1:26" ht="15" customHeight="1">
      <c r="A53" s="310"/>
      <c r="B53" s="970">
        <v>18</v>
      </c>
      <c r="C53" s="971"/>
      <c r="D53" s="450">
        <v>62.944541608489004</v>
      </c>
      <c r="E53" s="451">
        <v>64.16799812478416</v>
      </c>
      <c r="F53" s="451">
        <v>65.39145464107932</v>
      </c>
      <c r="G53" s="451">
        <v>66.61491115737446</v>
      </c>
      <c r="H53" s="451">
        <v>67.83836767366962</v>
      </c>
      <c r="I53" s="451">
        <v>69.06182418996478</v>
      </c>
      <c r="J53" s="451">
        <v>70.28528070625993</v>
      </c>
      <c r="K53" s="452">
        <v>71.50873722255508</v>
      </c>
      <c r="L53" s="310"/>
      <c r="M53" s="310"/>
      <c r="N53" s="310"/>
      <c r="O53" s="310"/>
      <c r="P53" s="970">
        <v>18</v>
      </c>
      <c r="Q53" s="995"/>
      <c r="R53" s="450">
        <v>33.525341608489015</v>
      </c>
      <c r="S53" s="451">
        <v>34.203998124784164</v>
      </c>
      <c r="T53" s="451">
        <v>34.88265464107932</v>
      </c>
      <c r="U53" s="451">
        <v>35.561311157374476</v>
      </c>
      <c r="V53" s="451">
        <v>36.239967673669625</v>
      </c>
      <c r="W53" s="451">
        <v>36.918624189964774</v>
      </c>
      <c r="X53" s="451">
        <v>37.59728070625994</v>
      </c>
      <c r="Y53" s="452">
        <v>38.275937222555086</v>
      </c>
      <c r="Z53" s="310"/>
    </row>
    <row r="54" spans="1:26" ht="15" customHeight="1">
      <c r="A54" s="310"/>
      <c r="B54" s="970">
        <v>20</v>
      </c>
      <c r="C54" s="971"/>
      <c r="D54" s="450">
        <v>62.64833535383514</v>
      </c>
      <c r="E54" s="451">
        <v>63.86042797462105</v>
      </c>
      <c r="F54" s="451">
        <v>65.07252059540696</v>
      </c>
      <c r="G54" s="451">
        <v>66.28461321619287</v>
      </c>
      <c r="H54" s="451">
        <v>67.49670583697878</v>
      </c>
      <c r="I54" s="451">
        <v>68.70879845776469</v>
      </c>
      <c r="J54" s="451">
        <v>69.92089107855058</v>
      </c>
      <c r="K54" s="452">
        <v>71.1329836993365</v>
      </c>
      <c r="L54" s="310"/>
      <c r="M54" s="310"/>
      <c r="N54" s="310"/>
      <c r="O54" s="310"/>
      <c r="P54" s="970">
        <v>20</v>
      </c>
      <c r="Q54" s="995"/>
      <c r="R54" s="450">
        <v>33.22913535383515</v>
      </c>
      <c r="S54" s="451">
        <v>33.89642797462105</v>
      </c>
      <c r="T54" s="451">
        <v>34.563720595406956</v>
      </c>
      <c r="U54" s="451">
        <v>35.23101321619286</v>
      </c>
      <c r="V54" s="451">
        <v>35.89830583697877</v>
      </c>
      <c r="W54" s="451">
        <v>36.56559845776468</v>
      </c>
      <c r="X54" s="451">
        <v>37.232891078550594</v>
      </c>
      <c r="Y54" s="452">
        <v>37.9001836993365</v>
      </c>
      <c r="Z54" s="310"/>
    </row>
    <row r="55" spans="1:26" ht="15" customHeight="1">
      <c r="A55" s="310"/>
      <c r="B55" s="970">
        <v>22</v>
      </c>
      <c r="C55" s="971"/>
      <c r="D55" s="450">
        <v>62.23701779540106</v>
      </c>
      <c r="E55" s="451">
        <v>63.436601649967855</v>
      </c>
      <c r="F55" s="451">
        <v>64.63618550453464</v>
      </c>
      <c r="G55" s="451">
        <v>65.83576935910142</v>
      </c>
      <c r="H55" s="451">
        <v>67.03535321366822</v>
      </c>
      <c r="I55" s="451">
        <v>68.234937068235</v>
      </c>
      <c r="J55" s="451">
        <v>69.43452092280178</v>
      </c>
      <c r="K55" s="452">
        <v>70.63410477736858</v>
      </c>
      <c r="L55" s="310"/>
      <c r="M55" s="310"/>
      <c r="N55" s="310"/>
      <c r="O55" s="310"/>
      <c r="P55" s="970">
        <v>22</v>
      </c>
      <c r="Q55" s="995"/>
      <c r="R55" s="450">
        <v>32.81781779540107</v>
      </c>
      <c r="S55" s="451">
        <v>33.47260164996786</v>
      </c>
      <c r="T55" s="451">
        <v>34.127385504534644</v>
      </c>
      <c r="U55" s="451">
        <v>34.78216935910143</v>
      </c>
      <c r="V55" s="451">
        <v>35.43695321366822</v>
      </c>
      <c r="W55" s="451">
        <v>36.091737068235005</v>
      </c>
      <c r="X55" s="451">
        <v>36.74652092280179</v>
      </c>
      <c r="Y55" s="452">
        <v>37.40130477736858</v>
      </c>
      <c r="Z55" s="310"/>
    </row>
    <row r="56" spans="1:26" ht="15" customHeight="1">
      <c r="A56" s="310"/>
      <c r="B56" s="970">
        <v>24</v>
      </c>
      <c r="C56" s="971"/>
      <c r="D56" s="450">
        <v>61.72428191703463</v>
      </c>
      <c r="E56" s="451">
        <v>62.910227374677234</v>
      </c>
      <c r="F56" s="451">
        <v>64.09617283231984</v>
      </c>
      <c r="G56" s="451">
        <v>65.28211828996244</v>
      </c>
      <c r="H56" s="451">
        <v>66.46806374760504</v>
      </c>
      <c r="I56" s="451">
        <v>67.65400920524765</v>
      </c>
      <c r="J56" s="451">
        <v>68.83995466289024</v>
      </c>
      <c r="K56" s="452">
        <v>70.02590012053284</v>
      </c>
      <c r="L56" s="310"/>
      <c r="M56" s="310"/>
      <c r="N56" s="310"/>
      <c r="O56" s="310"/>
      <c r="P56" s="970">
        <v>24</v>
      </c>
      <c r="Q56" s="995"/>
      <c r="R56" s="450">
        <v>32.30508191703464</v>
      </c>
      <c r="S56" s="451">
        <v>32.946227374677235</v>
      </c>
      <c r="T56" s="451">
        <v>33.587372832319836</v>
      </c>
      <c r="U56" s="451">
        <v>34.22851828996245</v>
      </c>
      <c r="V56" s="451">
        <v>34.869663747605046</v>
      </c>
      <c r="W56" s="451">
        <v>35.51080920524764</v>
      </c>
      <c r="X56" s="451">
        <v>36.15195466289025</v>
      </c>
      <c r="Y56" s="452">
        <v>36.79310012053284</v>
      </c>
      <c r="Z56" s="310"/>
    </row>
    <row r="57" spans="1:26" ht="15" customHeight="1">
      <c r="A57" s="310"/>
      <c r="B57" s="970">
        <v>26</v>
      </c>
      <c r="C57" s="971"/>
      <c r="D57" s="450">
        <v>61.12009339770553</v>
      </c>
      <c r="E57" s="451">
        <v>62.29128744400471</v>
      </c>
      <c r="F57" s="451">
        <v>63.46248149030387</v>
      </c>
      <c r="G57" s="451">
        <v>64.63367553660304</v>
      </c>
      <c r="H57" s="451">
        <v>65.8048695829022</v>
      </c>
      <c r="I57" s="451">
        <v>66.97606362920138</v>
      </c>
      <c r="J57" s="451">
        <v>68.14725767550054</v>
      </c>
      <c r="K57" s="452">
        <v>69.3184517217997</v>
      </c>
      <c r="L57" s="310"/>
      <c r="M57" s="310"/>
      <c r="N57" s="310"/>
      <c r="O57" s="310"/>
      <c r="P57" s="970">
        <v>26</v>
      </c>
      <c r="Q57" s="995"/>
      <c r="R57" s="450">
        <v>31.70089339770554</v>
      </c>
      <c r="S57" s="451">
        <v>32.32728744400471</v>
      </c>
      <c r="T57" s="451">
        <v>32.95368149030388</v>
      </c>
      <c r="U57" s="451">
        <v>33.58007553660305</v>
      </c>
      <c r="V57" s="451">
        <v>34.20646958290221</v>
      </c>
      <c r="W57" s="451">
        <v>34.83286362920137</v>
      </c>
      <c r="X57" s="451">
        <v>35.45925767550054</v>
      </c>
      <c r="Y57" s="452">
        <v>36.085651721799714</v>
      </c>
      <c r="Z57" s="310"/>
    </row>
    <row r="58" spans="1:26" ht="15" customHeight="1">
      <c r="A58" s="310"/>
      <c r="B58" s="970">
        <v>28</v>
      </c>
      <c r="C58" s="971"/>
      <c r="D58" s="450">
        <v>60.431991818176726</v>
      </c>
      <c r="E58" s="451">
        <v>61.58733941103566</v>
      </c>
      <c r="F58" s="451">
        <v>62.74268700389458</v>
      </c>
      <c r="G58" s="451">
        <v>63.898034596753504</v>
      </c>
      <c r="H58" s="451">
        <v>65.05338218961244</v>
      </c>
      <c r="I58" s="451">
        <v>66.20872978247137</v>
      </c>
      <c r="J58" s="451">
        <v>67.3640773753303</v>
      </c>
      <c r="K58" s="452">
        <v>68.51942496818921</v>
      </c>
      <c r="L58" s="310"/>
      <c r="M58" s="310"/>
      <c r="N58" s="310"/>
      <c r="O58" s="310"/>
      <c r="P58" s="970">
        <v>28</v>
      </c>
      <c r="Q58" s="995"/>
      <c r="R58" s="450">
        <v>31.012791818176733</v>
      </c>
      <c r="S58" s="451">
        <v>31.62333941103566</v>
      </c>
      <c r="T58" s="451">
        <v>32.23388700389459</v>
      </c>
      <c r="U58" s="451">
        <v>32.844434596753516</v>
      </c>
      <c r="V58" s="451">
        <v>33.45498218961244</v>
      </c>
      <c r="W58" s="451">
        <v>34.06552978247136</v>
      </c>
      <c r="X58" s="451">
        <v>34.676077375330294</v>
      </c>
      <c r="Y58" s="452">
        <v>35.28662496818922</v>
      </c>
      <c r="Z58" s="310"/>
    </row>
    <row r="59" spans="1:26" ht="15" customHeight="1">
      <c r="A59" s="310"/>
      <c r="B59" s="970">
        <v>30</v>
      </c>
      <c r="C59" s="971"/>
      <c r="D59" s="450">
        <v>59.66589245935346</v>
      </c>
      <c r="E59" s="451">
        <v>60.8043178631379</v>
      </c>
      <c r="F59" s="451">
        <v>61.94274326692234</v>
      </c>
      <c r="G59" s="451">
        <v>63.081168670706774</v>
      </c>
      <c r="H59" s="451">
        <v>64.21959407449123</v>
      </c>
      <c r="I59" s="451">
        <v>65.35801947827566</v>
      </c>
      <c r="J59" s="451">
        <v>66.49644488206009</v>
      </c>
      <c r="K59" s="452">
        <v>67.63487028584453</v>
      </c>
      <c r="L59" s="310"/>
      <c r="M59" s="310"/>
      <c r="N59" s="310"/>
      <c r="O59" s="310"/>
      <c r="P59" s="970">
        <v>30</v>
      </c>
      <c r="Q59" s="995"/>
      <c r="R59" s="450">
        <v>30.246692459353465</v>
      </c>
      <c r="S59" s="451">
        <v>30.840317863137905</v>
      </c>
      <c r="T59" s="451">
        <v>31.43394326692235</v>
      </c>
      <c r="U59" s="451">
        <v>32.027568670706785</v>
      </c>
      <c r="V59" s="451">
        <v>32.62119407449122</v>
      </c>
      <c r="W59" s="451">
        <v>33.21481947827566</v>
      </c>
      <c r="X59" s="451">
        <v>33.8084448820601</v>
      </c>
      <c r="Y59" s="452">
        <v>34.40207028584454</v>
      </c>
      <c r="Z59" s="310"/>
    </row>
    <row r="60" spans="1:26" ht="15" customHeight="1">
      <c r="A60" s="310"/>
      <c r="B60" s="970">
        <v>32</v>
      </c>
      <c r="C60" s="971"/>
      <c r="D60" s="450">
        <v>58.826598046881216</v>
      </c>
      <c r="E60" s="451">
        <v>59.94704614303764</v>
      </c>
      <c r="F60" s="451">
        <v>61.06749423919406</v>
      </c>
      <c r="G60" s="451">
        <v>62.187942335350485</v>
      </c>
      <c r="H60" s="451">
        <v>63.30839043150692</v>
      </c>
      <c r="I60" s="451">
        <v>64.42883852766334</v>
      </c>
      <c r="J60" s="451">
        <v>65.54928662381977</v>
      </c>
      <c r="K60" s="452">
        <v>66.66973471997619</v>
      </c>
      <c r="L60" s="310"/>
      <c r="M60" s="310"/>
      <c r="N60" s="310"/>
      <c r="O60" s="310"/>
      <c r="P60" s="970">
        <v>32</v>
      </c>
      <c r="Q60" s="995"/>
      <c r="R60" s="450">
        <v>29.407398046881216</v>
      </c>
      <c r="S60" s="451">
        <v>29.98304614303764</v>
      </c>
      <c r="T60" s="451">
        <v>30.558694239194068</v>
      </c>
      <c r="U60" s="451">
        <v>31.134342335350492</v>
      </c>
      <c r="V60" s="451">
        <v>31.709990431506924</v>
      </c>
      <c r="W60" s="451">
        <v>32.28563852766335</v>
      </c>
      <c r="X60" s="451">
        <v>32.86128662381978</v>
      </c>
      <c r="Y60" s="452">
        <v>33.4369347199762</v>
      </c>
      <c r="Z60" s="310"/>
    </row>
    <row r="61" spans="1:26" ht="15" customHeight="1">
      <c r="A61" s="310"/>
      <c r="B61" s="970">
        <v>34</v>
      </c>
      <c r="C61" s="971"/>
      <c r="D61" s="450">
        <v>57.918135374885736</v>
      </c>
      <c r="E61" s="451">
        <v>59.019572947440786</v>
      </c>
      <c r="F61" s="451">
        <v>60.12101051999583</v>
      </c>
      <c r="G61" s="451">
        <v>61.22244809255086</v>
      </c>
      <c r="H61" s="451">
        <v>62.32388566510591</v>
      </c>
      <c r="I61" s="451">
        <v>63.42532323766095</v>
      </c>
      <c r="J61" s="451">
        <v>64.52676081021599</v>
      </c>
      <c r="K61" s="452">
        <v>65.62819838277103</v>
      </c>
      <c r="L61" s="310"/>
      <c r="M61" s="310"/>
      <c r="N61" s="310"/>
      <c r="O61" s="310"/>
      <c r="P61" s="970">
        <v>34</v>
      </c>
      <c r="Q61" s="995"/>
      <c r="R61" s="450">
        <v>28.498935374885743</v>
      </c>
      <c r="S61" s="451">
        <v>29.055572947440787</v>
      </c>
      <c r="T61" s="451">
        <v>29.612210519995834</v>
      </c>
      <c r="U61" s="451">
        <v>30.16884809255087</v>
      </c>
      <c r="V61" s="451">
        <v>30.725485665105914</v>
      </c>
      <c r="W61" s="451">
        <v>31.28212323766095</v>
      </c>
      <c r="X61" s="451">
        <v>31.838760810215998</v>
      </c>
      <c r="Y61" s="452">
        <v>32.395398382771035</v>
      </c>
      <c r="Z61" s="310"/>
    </row>
    <row r="62" spans="1:26" ht="15" customHeight="1">
      <c r="A62" s="310"/>
      <c r="B62" s="970">
        <v>36</v>
      </c>
      <c r="C62" s="971"/>
      <c r="D62" s="450">
        <v>56.943982579340584</v>
      </c>
      <c r="E62" s="451">
        <v>58.025399573715525</v>
      </c>
      <c r="F62" s="451">
        <v>59.10681656809047</v>
      </c>
      <c r="G62" s="451">
        <v>60.18823356246543</v>
      </c>
      <c r="H62" s="451">
        <v>61.26965055684037</v>
      </c>
      <c r="I62" s="451">
        <v>62.35106755121532</v>
      </c>
      <c r="J62" s="451">
        <v>63.43248454559027</v>
      </c>
      <c r="K62" s="452">
        <v>64.51390153996522</v>
      </c>
      <c r="L62" s="310"/>
      <c r="M62" s="310"/>
      <c r="N62" s="310"/>
      <c r="O62" s="310"/>
      <c r="P62" s="970">
        <v>36</v>
      </c>
      <c r="Q62" s="995"/>
      <c r="R62" s="450">
        <v>27.524782579340584</v>
      </c>
      <c r="S62" s="451">
        <v>28.061399573715526</v>
      </c>
      <c r="T62" s="451">
        <v>28.59801656809048</v>
      </c>
      <c r="U62" s="451">
        <v>29.134633562465428</v>
      </c>
      <c r="V62" s="451">
        <v>29.67125055684037</v>
      </c>
      <c r="W62" s="451">
        <v>30.20786755121532</v>
      </c>
      <c r="X62" s="451">
        <v>30.74448454559027</v>
      </c>
      <c r="Y62" s="452">
        <v>31.281101539965213</v>
      </c>
      <c r="Z62" s="310"/>
    </row>
    <row r="63" spans="1:26" ht="15" customHeight="1">
      <c r="A63" s="310"/>
      <c r="B63" s="970">
        <v>38</v>
      </c>
      <c r="C63" s="971"/>
      <c r="D63" s="450">
        <v>55.90722608353762</v>
      </c>
      <c r="E63" s="451">
        <v>56.967636837144354</v>
      </c>
      <c r="F63" s="451">
        <v>58.02804759075107</v>
      </c>
      <c r="G63" s="451">
        <v>59.08845834435779</v>
      </c>
      <c r="H63" s="451">
        <v>60.148869097964514</v>
      </c>
      <c r="I63" s="451">
        <v>61.20927985157124</v>
      </c>
      <c r="J63" s="451">
        <v>62.269690605177956</v>
      </c>
      <c r="K63" s="452">
        <v>63.33010135878468</v>
      </c>
      <c r="L63" s="310"/>
      <c r="M63" s="310"/>
      <c r="N63" s="310"/>
      <c r="O63" s="310"/>
      <c r="P63" s="970">
        <v>38</v>
      </c>
      <c r="Q63" s="995"/>
      <c r="R63" s="450">
        <v>26.48802608353763</v>
      </c>
      <c r="S63" s="451">
        <v>27.003636837144356</v>
      </c>
      <c r="T63" s="451">
        <v>27.51924759075108</v>
      </c>
      <c r="U63" s="451">
        <v>28.034858344357797</v>
      </c>
      <c r="V63" s="451">
        <v>28.550469097964516</v>
      </c>
      <c r="W63" s="451">
        <v>29.066079851571242</v>
      </c>
      <c r="X63" s="451">
        <v>29.581690605177965</v>
      </c>
      <c r="Y63" s="452">
        <v>30.097301358784684</v>
      </c>
      <c r="Z63" s="310"/>
    </row>
    <row r="64" spans="1:26" ht="15" customHeight="1">
      <c r="A64" s="310"/>
      <c r="B64" s="970">
        <v>40</v>
      </c>
      <c r="C64" s="971"/>
      <c r="D64" s="450">
        <v>54.810671115373836</v>
      </c>
      <c r="E64" s="451">
        <v>55.84911555849282</v>
      </c>
      <c r="F64" s="451">
        <v>56.887560001611796</v>
      </c>
      <c r="G64" s="451">
        <v>57.92600444473078</v>
      </c>
      <c r="H64" s="451">
        <v>58.964448887849755</v>
      </c>
      <c r="I64" s="451">
        <v>60.00289333096873</v>
      </c>
      <c r="J64" s="451">
        <v>61.04133777408771</v>
      </c>
      <c r="K64" s="452">
        <v>62.079782217206684</v>
      </c>
      <c r="L64" s="310"/>
      <c r="M64" s="310"/>
      <c r="N64" s="310"/>
      <c r="O64" s="310"/>
      <c r="P64" s="970">
        <v>40</v>
      </c>
      <c r="Q64" s="995"/>
      <c r="R64" s="450">
        <v>25.391471115373843</v>
      </c>
      <c r="S64" s="451">
        <v>25.88511555849282</v>
      </c>
      <c r="T64" s="451">
        <v>26.378760001611802</v>
      </c>
      <c r="U64" s="451">
        <v>26.87240444473078</v>
      </c>
      <c r="V64" s="451">
        <v>27.366048887849757</v>
      </c>
      <c r="W64" s="451">
        <v>27.859693330968735</v>
      </c>
      <c r="X64" s="451">
        <v>28.35333777408771</v>
      </c>
      <c r="Y64" s="452">
        <v>28.846982217206687</v>
      </c>
      <c r="Z64" s="310"/>
    </row>
    <row r="65" spans="1:26" ht="15" customHeight="1">
      <c r="A65" s="310"/>
      <c r="B65" s="970">
        <v>42</v>
      </c>
      <c r="C65" s="971"/>
      <c r="D65" s="450">
        <v>53.656920851767566</v>
      </c>
      <c r="E65" s="451">
        <v>54.67246567724496</v>
      </c>
      <c r="F65" s="451">
        <v>55.68801050272235</v>
      </c>
      <c r="G65" s="451">
        <v>56.70355532819974</v>
      </c>
      <c r="H65" s="451">
        <v>57.71910015367714</v>
      </c>
      <c r="I65" s="451">
        <v>58.73464497915454</v>
      </c>
      <c r="J65" s="451">
        <v>59.75018980463193</v>
      </c>
      <c r="K65" s="452">
        <v>60.76573463010932</v>
      </c>
      <c r="L65" s="310"/>
      <c r="M65" s="310"/>
      <c r="N65" s="310"/>
      <c r="O65" s="310"/>
      <c r="P65" s="970">
        <v>42</v>
      </c>
      <c r="Q65" s="995"/>
      <c r="R65" s="450">
        <v>24.237720851767566</v>
      </c>
      <c r="S65" s="451">
        <v>24.70846567724496</v>
      </c>
      <c r="T65" s="451">
        <v>25.179210502722356</v>
      </c>
      <c r="U65" s="451">
        <v>25.64995532819975</v>
      </c>
      <c r="V65" s="451">
        <v>26.12070015367714</v>
      </c>
      <c r="W65" s="451">
        <v>26.591444979154534</v>
      </c>
      <c r="X65" s="451">
        <v>27.06218980463193</v>
      </c>
      <c r="Y65" s="452">
        <v>27.532934630109324</v>
      </c>
      <c r="Z65" s="310"/>
    </row>
    <row r="66" spans="1:26" ht="15" customHeight="1">
      <c r="A66" s="310"/>
      <c r="B66" s="970">
        <v>44</v>
      </c>
      <c r="C66" s="971"/>
      <c r="D66" s="450">
        <v>52.448433915193164</v>
      </c>
      <c r="E66" s="451">
        <v>53.44017371553182</v>
      </c>
      <c r="F66" s="451">
        <v>54.43191351587047</v>
      </c>
      <c r="G66" s="451">
        <v>55.423653316209126</v>
      </c>
      <c r="H66" s="451">
        <v>56.415393116547776</v>
      </c>
      <c r="I66" s="451">
        <v>57.407132916886425</v>
      </c>
      <c r="J66" s="451">
        <v>58.398872717225075</v>
      </c>
      <c r="K66" s="452">
        <v>59.390612517563724</v>
      </c>
      <c r="L66" s="310"/>
      <c r="M66" s="310"/>
      <c r="N66" s="310"/>
      <c r="O66" s="310"/>
      <c r="P66" s="970">
        <v>44</v>
      </c>
      <c r="Q66" s="995"/>
      <c r="R66" s="450">
        <v>23.02923391519317</v>
      </c>
      <c r="S66" s="451">
        <v>23.47617371553182</v>
      </c>
      <c r="T66" s="451">
        <v>23.923113515870476</v>
      </c>
      <c r="U66" s="451">
        <v>24.370053316209127</v>
      </c>
      <c r="V66" s="451">
        <v>24.816993116547778</v>
      </c>
      <c r="W66" s="451">
        <v>25.26393291688643</v>
      </c>
      <c r="X66" s="451">
        <v>25.710872717225076</v>
      </c>
      <c r="Y66" s="452">
        <v>26.157812517563727</v>
      </c>
      <c r="Z66" s="310"/>
    </row>
    <row r="67" spans="1:26" ht="15" customHeight="1">
      <c r="A67" s="310"/>
      <c r="B67" s="970">
        <v>46</v>
      </c>
      <c r="C67" s="971"/>
      <c r="D67" s="450">
        <v>51.187566647419956</v>
      </c>
      <c r="E67" s="451">
        <v>52.154625017878956</v>
      </c>
      <c r="F67" s="451">
        <v>53.12168338833795</v>
      </c>
      <c r="G67" s="451">
        <v>54.08874175879694</v>
      </c>
      <c r="H67" s="451">
        <v>55.05580012925594</v>
      </c>
      <c r="I67" s="451">
        <v>56.02285849971494</v>
      </c>
      <c r="J67" s="451">
        <v>56.98991687017394</v>
      </c>
      <c r="K67" s="452">
        <v>57.956975240632936</v>
      </c>
      <c r="L67" s="310"/>
      <c r="M67" s="310"/>
      <c r="N67" s="310"/>
      <c r="O67" s="310"/>
      <c r="P67" s="970">
        <v>46</v>
      </c>
      <c r="Q67" s="995"/>
      <c r="R67" s="450">
        <v>21.768366647419963</v>
      </c>
      <c r="S67" s="451">
        <v>22.190625017878958</v>
      </c>
      <c r="T67" s="451">
        <v>22.612883388337956</v>
      </c>
      <c r="U67" s="451">
        <v>23.03514175879695</v>
      </c>
      <c r="V67" s="451">
        <v>23.457400129255944</v>
      </c>
      <c r="W67" s="451">
        <v>23.879658499714946</v>
      </c>
      <c r="X67" s="451">
        <v>24.301916870173944</v>
      </c>
      <c r="Y67" s="452">
        <v>24.72417524063294</v>
      </c>
      <c r="Z67" s="310"/>
    </row>
    <row r="68" spans="1:26" ht="15" customHeight="1">
      <c r="A68" s="310"/>
      <c r="B68" s="970">
        <v>48</v>
      </c>
      <c r="C68" s="971"/>
      <c r="D68" s="450">
        <v>49.876604492712275</v>
      </c>
      <c r="E68" s="451">
        <v>50.81813509907114</v>
      </c>
      <c r="F68" s="451">
        <v>51.759665705429995</v>
      </c>
      <c r="G68" s="451">
        <v>52.70119631178885</v>
      </c>
      <c r="H68" s="451">
        <v>53.642726918147716</v>
      </c>
      <c r="I68" s="451">
        <v>54.58425752450657</v>
      </c>
      <c r="J68" s="451">
        <v>55.52578813086542</v>
      </c>
      <c r="K68" s="452">
        <v>56.46731873722429</v>
      </c>
      <c r="L68" s="310"/>
      <c r="M68" s="310"/>
      <c r="N68" s="310"/>
      <c r="O68" s="310"/>
      <c r="P68" s="970">
        <v>48</v>
      </c>
      <c r="Q68" s="995"/>
      <c r="R68" s="450">
        <v>20.457404492712282</v>
      </c>
      <c r="S68" s="451">
        <v>20.854135099071144</v>
      </c>
      <c r="T68" s="451">
        <v>21.25086570543</v>
      </c>
      <c r="U68" s="451">
        <v>21.647596311788856</v>
      </c>
      <c r="V68" s="451">
        <v>22.044326918147718</v>
      </c>
      <c r="W68" s="451">
        <v>22.441057524506572</v>
      </c>
      <c r="X68" s="451">
        <v>22.83778813086543</v>
      </c>
      <c r="Y68" s="452">
        <v>23.234518737224292</v>
      </c>
      <c r="Z68" s="310"/>
    </row>
    <row r="69" spans="1:26" ht="15" customHeight="1">
      <c r="A69" s="310"/>
      <c r="B69" s="970">
        <v>50</v>
      </c>
      <c r="C69" s="971"/>
      <c r="D69" s="450">
        <v>48.51778546617017</v>
      </c>
      <c r="E69" s="451">
        <v>49.43297307585671</v>
      </c>
      <c r="F69" s="451">
        <v>50.34816068554324</v>
      </c>
      <c r="G69" s="451">
        <v>51.26334829522979</v>
      </c>
      <c r="H69" s="451">
        <v>52.17853590491632</v>
      </c>
      <c r="I69" s="451">
        <v>53.09372351460287</v>
      </c>
      <c r="J69" s="451">
        <v>54.0089111242894</v>
      </c>
      <c r="K69" s="452">
        <v>54.924098733975946</v>
      </c>
      <c r="L69" s="310"/>
      <c r="M69" s="310"/>
      <c r="N69" s="310"/>
      <c r="O69" s="310"/>
      <c r="P69" s="970">
        <v>50</v>
      </c>
      <c r="Q69" s="995"/>
      <c r="R69" s="450">
        <v>19.098585466170167</v>
      </c>
      <c r="S69" s="451">
        <v>19.46897307585671</v>
      </c>
      <c r="T69" s="451">
        <v>19.839360685543248</v>
      </c>
      <c r="U69" s="451">
        <v>20.20974829522979</v>
      </c>
      <c r="V69" s="451">
        <v>20.580135904916325</v>
      </c>
      <c r="W69" s="451">
        <v>20.950523514602867</v>
      </c>
      <c r="X69" s="451">
        <v>21.320911124289406</v>
      </c>
      <c r="Y69" s="452">
        <v>21.691298733975948</v>
      </c>
      <c r="Z69" s="310"/>
    </row>
    <row r="70" spans="1:26" ht="15" customHeight="1">
      <c r="A70" s="310"/>
      <c r="B70" s="970">
        <v>52</v>
      </c>
      <c r="C70" s="971"/>
      <c r="D70" s="450">
        <v>47.11331778595002</v>
      </c>
      <c r="E70" s="451">
        <v>48.00137926127568</v>
      </c>
      <c r="F70" s="451">
        <v>48.88944073660134</v>
      </c>
      <c r="G70" s="451">
        <v>49.777502211927</v>
      </c>
      <c r="H70" s="451">
        <v>50.66556368725266</v>
      </c>
      <c r="I70" s="451">
        <v>51.553625162578314</v>
      </c>
      <c r="J70" s="451">
        <v>52.44168663790397</v>
      </c>
      <c r="K70" s="452">
        <v>53.32974811322963</v>
      </c>
      <c r="L70" s="310"/>
      <c r="M70" s="310"/>
      <c r="N70" s="310"/>
      <c r="O70" s="310"/>
      <c r="P70" s="970">
        <v>52</v>
      </c>
      <c r="Q70" s="995"/>
      <c r="R70" s="450">
        <v>17.694117785950024</v>
      </c>
      <c r="S70" s="451">
        <v>18.03737926127568</v>
      </c>
      <c r="T70" s="451">
        <v>18.380640736601343</v>
      </c>
      <c r="U70" s="451">
        <v>18.723902211927</v>
      </c>
      <c r="V70" s="451">
        <v>19.06716368725266</v>
      </c>
      <c r="W70" s="451">
        <v>19.410425162578317</v>
      </c>
      <c r="X70" s="451">
        <v>19.75368663790397</v>
      </c>
      <c r="Y70" s="452">
        <v>20.09694811322963</v>
      </c>
      <c r="Z70" s="310"/>
    </row>
    <row r="71" spans="1:26" ht="15" customHeight="1">
      <c r="A71" s="310"/>
      <c r="B71" s="970">
        <v>54</v>
      </c>
      <c r="C71" s="971"/>
      <c r="D71" s="450">
        <v>45.66539314424876</v>
      </c>
      <c r="E71" s="451">
        <v>46.525578396541235</v>
      </c>
      <c r="F71" s="451">
        <v>47.38576364883371</v>
      </c>
      <c r="G71" s="451">
        <v>48.245948901126184</v>
      </c>
      <c r="H71" s="451">
        <v>49.10613415341866</v>
      </c>
      <c r="I71" s="451">
        <v>49.96631940571113</v>
      </c>
      <c r="J71" s="451">
        <v>50.8265046580036</v>
      </c>
      <c r="K71" s="452">
        <v>51.68668991029608</v>
      </c>
      <c r="L71" s="310"/>
      <c r="M71" s="310"/>
      <c r="N71" s="310"/>
      <c r="O71" s="310"/>
      <c r="P71" s="970">
        <v>54</v>
      </c>
      <c r="Q71" s="995"/>
      <c r="R71" s="450">
        <v>16.246193144248764</v>
      </c>
      <c r="S71" s="451">
        <v>16.561578396541236</v>
      </c>
      <c r="T71" s="451">
        <v>16.876963648833716</v>
      </c>
      <c r="U71" s="451">
        <v>17.19234890112619</v>
      </c>
      <c r="V71" s="451">
        <v>17.50773415341866</v>
      </c>
      <c r="W71" s="451">
        <v>17.823119405711136</v>
      </c>
      <c r="X71" s="451">
        <v>18.13850465800361</v>
      </c>
      <c r="Y71" s="452">
        <v>18.453889910296084</v>
      </c>
      <c r="Z71" s="310"/>
    </row>
    <row r="72" spans="1:26" ht="15" customHeight="1">
      <c r="A72" s="310"/>
      <c r="B72" s="970">
        <v>56</v>
      </c>
      <c r="C72" s="971"/>
      <c r="D72" s="450">
        <v>44.17619667860869</v>
      </c>
      <c r="E72" s="451">
        <v>45.00778958207944</v>
      </c>
      <c r="F72" s="451">
        <v>45.83938248555018</v>
      </c>
      <c r="G72" s="451">
        <v>46.670975389020924</v>
      </c>
      <c r="H72" s="451">
        <v>47.502568292491674</v>
      </c>
      <c r="I72" s="451">
        <v>48.33416119596242</v>
      </c>
      <c r="J72" s="451">
        <v>49.16575409943317</v>
      </c>
      <c r="K72" s="452">
        <v>49.997347002903915</v>
      </c>
      <c r="L72" s="310"/>
      <c r="M72" s="310"/>
      <c r="N72" s="310"/>
      <c r="O72" s="310"/>
      <c r="P72" s="970">
        <v>56</v>
      </c>
      <c r="Q72" s="995"/>
      <c r="R72" s="450">
        <v>14.75699667860869</v>
      </c>
      <c r="S72" s="451">
        <v>15.043789582079437</v>
      </c>
      <c r="T72" s="451">
        <v>15.330582485550186</v>
      </c>
      <c r="U72" s="451">
        <v>15.617375389020932</v>
      </c>
      <c r="V72" s="451">
        <v>15.904168292491676</v>
      </c>
      <c r="W72" s="451">
        <v>16.190961195962426</v>
      </c>
      <c r="X72" s="451">
        <v>16.477754099433174</v>
      </c>
      <c r="Y72" s="452">
        <v>16.764547002903917</v>
      </c>
      <c r="Z72" s="310"/>
    </row>
    <row r="73" spans="1:26" ht="15" customHeight="1">
      <c r="A73" s="310"/>
      <c r="B73" s="970">
        <v>58</v>
      </c>
      <c r="C73" s="971"/>
      <c r="D73" s="450">
        <v>42.647914417855134</v>
      </c>
      <c r="E73" s="451">
        <v>43.45023368208834</v>
      </c>
      <c r="F73" s="451">
        <v>44.25255294632155</v>
      </c>
      <c r="G73" s="451">
        <v>45.05487221055475</v>
      </c>
      <c r="H73" s="451">
        <v>45.85719147478795</v>
      </c>
      <c r="I73" s="451">
        <v>46.65951073902116</v>
      </c>
      <c r="J73" s="451">
        <v>47.46183000325436</v>
      </c>
      <c r="K73" s="452">
        <v>48.26414926748757</v>
      </c>
      <c r="L73" s="310"/>
      <c r="M73" s="310"/>
      <c r="N73" s="310"/>
      <c r="O73" s="310"/>
      <c r="P73" s="970">
        <v>58</v>
      </c>
      <c r="Q73" s="995"/>
      <c r="R73" s="450">
        <v>13.22871441785514</v>
      </c>
      <c r="S73" s="451">
        <v>13.486233682088343</v>
      </c>
      <c r="T73" s="451">
        <v>13.743752946321552</v>
      </c>
      <c r="U73" s="451">
        <v>14.001272210554756</v>
      </c>
      <c r="V73" s="451">
        <v>14.258791474787959</v>
      </c>
      <c r="W73" s="451">
        <v>14.516310739021161</v>
      </c>
      <c r="X73" s="451">
        <v>14.773830003254371</v>
      </c>
      <c r="Y73" s="452">
        <v>15.031349267487574</v>
      </c>
      <c r="Z73" s="310"/>
    </row>
    <row r="74" spans="1:26" ht="15" customHeight="1">
      <c r="A74" s="310"/>
      <c r="B74" s="970">
        <v>60</v>
      </c>
      <c r="C74" s="971"/>
      <c r="D74" s="450">
        <v>41.08273877453813</v>
      </c>
      <c r="E74" s="451">
        <v>41.85513877453813</v>
      </c>
      <c r="F74" s="451">
        <v>42.62753877453813</v>
      </c>
      <c r="G74" s="451">
        <v>43.39993877453813</v>
      </c>
      <c r="H74" s="451">
        <v>44.17233877453813</v>
      </c>
      <c r="I74" s="451">
        <v>44.94473877453813</v>
      </c>
      <c r="J74" s="451">
        <v>45.71713877453813</v>
      </c>
      <c r="K74" s="452">
        <v>46.48953877453813</v>
      </c>
      <c r="L74" s="310"/>
      <c r="M74" s="310"/>
      <c r="N74" s="310"/>
      <c r="O74" s="310"/>
      <c r="P74" s="970">
        <v>60</v>
      </c>
      <c r="Q74" s="995"/>
      <c r="R74" s="450">
        <v>11.663538774538132</v>
      </c>
      <c r="S74" s="451">
        <v>11.891138774538131</v>
      </c>
      <c r="T74" s="451">
        <v>12.118738774538132</v>
      </c>
      <c r="U74" s="451">
        <v>12.346338774538133</v>
      </c>
      <c r="V74" s="451">
        <v>12.573938774538131</v>
      </c>
      <c r="W74" s="451">
        <v>12.80153877453813</v>
      </c>
      <c r="X74" s="451">
        <v>13.029138774538133</v>
      </c>
      <c r="Y74" s="452">
        <v>13.256738774538132</v>
      </c>
      <c r="Z74" s="310"/>
    </row>
    <row r="75" spans="1:26" ht="15" customHeight="1">
      <c r="A75" s="310"/>
      <c r="B75" s="970">
        <v>62</v>
      </c>
      <c r="C75" s="971"/>
      <c r="D75" s="450">
        <v>39.48287251122082</v>
      </c>
      <c r="E75" s="451">
        <v>40.224744074006715</v>
      </c>
      <c r="F75" s="451">
        <v>40.9666156367926</v>
      </c>
      <c r="G75" s="451">
        <v>41.7084871995785</v>
      </c>
      <c r="H75" s="451">
        <v>42.45035876236439</v>
      </c>
      <c r="I75" s="451">
        <v>43.19223032515028</v>
      </c>
      <c r="J75" s="451">
        <v>43.934101887936166</v>
      </c>
      <c r="K75" s="452">
        <v>44.675973450722054</v>
      </c>
      <c r="L75" s="310"/>
      <c r="M75" s="310"/>
      <c r="N75" s="310"/>
      <c r="O75" s="310"/>
      <c r="P75" s="970">
        <v>62</v>
      </c>
      <c r="Q75" s="995"/>
      <c r="R75" s="450">
        <v>10.063672511220826</v>
      </c>
      <c r="S75" s="451">
        <v>10.260744074006716</v>
      </c>
      <c r="T75" s="451">
        <v>10.457815636792608</v>
      </c>
      <c r="U75" s="451">
        <v>10.6548871995785</v>
      </c>
      <c r="V75" s="451">
        <v>10.85195876236439</v>
      </c>
      <c r="W75" s="451">
        <v>11.049030325150277</v>
      </c>
      <c r="X75" s="451">
        <v>11.24610188793617</v>
      </c>
      <c r="Y75" s="452">
        <v>11.44317345072206</v>
      </c>
      <c r="Z75" s="310"/>
    </row>
    <row r="76" spans="1:26" ht="15" customHeight="1">
      <c r="A76" s="310"/>
      <c r="B76" s="970">
        <v>64</v>
      </c>
      <c r="C76" s="971"/>
      <c r="D76" s="450">
        <v>37.850531503533944</v>
      </c>
      <c r="E76" s="451">
        <v>38.56130265032302</v>
      </c>
      <c r="F76" s="451">
        <v>39.2720737971121</v>
      </c>
      <c r="G76" s="451">
        <v>39.98284494390117</v>
      </c>
      <c r="H76" s="451">
        <v>40.693616090690256</v>
      </c>
      <c r="I76" s="451">
        <v>41.40438723747933</v>
      </c>
      <c r="J76" s="451">
        <v>42.115158384268405</v>
      </c>
      <c r="K76" s="452">
        <v>42.82592953105748</v>
      </c>
      <c r="L76" s="310"/>
      <c r="M76" s="310"/>
      <c r="N76" s="310"/>
      <c r="O76" s="310"/>
      <c r="P76" s="970">
        <v>64</v>
      </c>
      <c r="Q76" s="995"/>
      <c r="R76" s="450">
        <v>8.431331503533947</v>
      </c>
      <c r="S76" s="451">
        <v>8.597302650323023</v>
      </c>
      <c r="T76" s="451">
        <v>8.7632737971121</v>
      </c>
      <c r="U76" s="451">
        <v>8.929244943901178</v>
      </c>
      <c r="V76" s="451">
        <v>9.095216090690254</v>
      </c>
      <c r="W76" s="451">
        <v>9.26118723747933</v>
      </c>
      <c r="X76" s="451">
        <v>9.42715838426841</v>
      </c>
      <c r="Y76" s="452">
        <v>9.593129531057489</v>
      </c>
      <c r="Z76" s="310"/>
    </row>
    <row r="77" spans="1:26" ht="15" customHeight="1">
      <c r="A77" s="310"/>
      <c r="B77" s="970">
        <v>66</v>
      </c>
      <c r="C77" s="971"/>
      <c r="D77" s="450">
        <v>36.18794654662962</v>
      </c>
      <c r="E77" s="451">
        <v>36.867083189705426</v>
      </c>
      <c r="F77" s="451">
        <v>37.546219832781226</v>
      </c>
      <c r="G77" s="451">
        <v>38.225356475857026</v>
      </c>
      <c r="H77" s="451">
        <v>38.90449311893282</v>
      </c>
      <c r="I77" s="451">
        <v>39.58362976200863</v>
      </c>
      <c r="J77" s="451">
        <v>40.26276640508442</v>
      </c>
      <c r="K77" s="452">
        <v>40.94190304816023</v>
      </c>
      <c r="L77" s="310"/>
      <c r="M77" s="310"/>
      <c r="N77" s="310"/>
      <c r="O77" s="310"/>
      <c r="P77" s="970">
        <v>66</v>
      </c>
      <c r="Q77" s="995"/>
      <c r="R77" s="450">
        <v>6.768746546629625</v>
      </c>
      <c r="S77" s="451">
        <v>6.903083189705427</v>
      </c>
      <c r="T77" s="451">
        <v>7.037419832781227</v>
      </c>
      <c r="U77" s="451">
        <v>7.171756475857027</v>
      </c>
      <c r="V77" s="451">
        <v>7.306093118932825</v>
      </c>
      <c r="W77" s="451">
        <v>7.440429762008627</v>
      </c>
      <c r="X77" s="451">
        <v>7.5747664050844286</v>
      </c>
      <c r="Y77" s="452">
        <v>7.709103048160227</v>
      </c>
      <c r="Z77" s="310"/>
    </row>
    <row r="78" spans="1:26" ht="15" customHeight="1">
      <c r="A78" s="310"/>
      <c r="B78" s="970">
        <v>68</v>
      </c>
      <c r="C78" s="971"/>
      <c r="D78" s="450">
        <v>34.49736439536842</v>
      </c>
      <c r="E78" s="451">
        <v>35.14437098878433</v>
      </c>
      <c r="F78" s="451">
        <v>35.79137758220024</v>
      </c>
      <c r="G78" s="451">
        <v>36.43838417561615</v>
      </c>
      <c r="H78" s="451">
        <v>37.08539076903207</v>
      </c>
      <c r="I78" s="451">
        <v>37.73239736244798</v>
      </c>
      <c r="J78" s="451">
        <v>38.37940395586389</v>
      </c>
      <c r="K78" s="452">
        <v>39.0264105492798</v>
      </c>
      <c r="L78" s="310"/>
      <c r="M78" s="310"/>
      <c r="N78" s="310"/>
      <c r="O78" s="310"/>
      <c r="P78" s="970">
        <v>68</v>
      </c>
      <c r="Q78" s="995"/>
      <c r="R78" s="450">
        <v>5.078164395368422</v>
      </c>
      <c r="S78" s="451">
        <v>5.1803709887843326</v>
      </c>
      <c r="T78" s="451">
        <v>5.282577582200245</v>
      </c>
      <c r="U78" s="451">
        <v>5.384784175616158</v>
      </c>
      <c r="V78" s="451">
        <v>5.486990769032069</v>
      </c>
      <c r="W78" s="451">
        <v>5.58919736244798</v>
      </c>
      <c r="X78" s="451">
        <v>5.691403955863894</v>
      </c>
      <c r="Y78" s="452">
        <v>5.793610549279805</v>
      </c>
      <c r="Z78" s="310"/>
    </row>
    <row r="79" spans="1:26" ht="15" customHeight="1">
      <c r="A79" s="310"/>
      <c r="B79" s="970">
        <v>70</v>
      </c>
      <c r="C79" s="971"/>
      <c r="D79" s="450">
        <v>32.781048186631196</v>
      </c>
      <c r="E79" s="451">
        <v>33.39546832995687</v>
      </c>
      <c r="F79" s="451">
        <v>34.00988847328254</v>
      </c>
      <c r="G79" s="451">
        <v>34.624308616608204</v>
      </c>
      <c r="H79" s="451">
        <v>35.23872875993388</v>
      </c>
      <c r="I79" s="451">
        <v>35.85314890325955</v>
      </c>
      <c r="J79" s="451">
        <v>36.46756904658521</v>
      </c>
      <c r="K79" s="452">
        <v>37.081989189910885</v>
      </c>
      <c r="L79" s="310"/>
      <c r="M79" s="310"/>
      <c r="N79" s="310"/>
      <c r="O79" s="310"/>
      <c r="P79" s="970">
        <v>70</v>
      </c>
      <c r="Q79" s="995"/>
      <c r="R79" s="450">
        <v>3.361848186631203</v>
      </c>
      <c r="S79" s="451">
        <v>3.4314683299568713</v>
      </c>
      <c r="T79" s="451">
        <v>3.5010884732825414</v>
      </c>
      <c r="U79" s="451">
        <v>3.5707086166082114</v>
      </c>
      <c r="V79" s="451">
        <v>3.6403287599338796</v>
      </c>
      <c r="W79" s="451">
        <v>3.709948903259548</v>
      </c>
      <c r="X79" s="451">
        <v>3.7795690465852196</v>
      </c>
      <c r="Y79" s="452">
        <v>3.8491891899108843</v>
      </c>
      <c r="Z79" s="310"/>
    </row>
    <row r="80" spans="1:26" ht="15" customHeight="1">
      <c r="A80" s="310"/>
      <c r="B80" s="970">
        <v>72</v>
      </c>
      <c r="C80" s="971"/>
      <c r="D80" s="450">
        <v>31.041277360634233</v>
      </c>
      <c r="E80" s="451">
        <v>31.62269435500918</v>
      </c>
      <c r="F80" s="451">
        <v>32.20411134938413</v>
      </c>
      <c r="G80" s="451">
        <v>32.78552834375907</v>
      </c>
      <c r="H80" s="451">
        <v>33.366945338134016</v>
      </c>
      <c r="I80" s="451">
        <v>33.94836233250897</v>
      </c>
      <c r="J80" s="451">
        <v>34.52977932688391</v>
      </c>
      <c r="K80" s="452">
        <v>35.11119632125886</v>
      </c>
      <c r="L80" s="310"/>
      <c r="M80" s="310"/>
      <c r="N80" s="310"/>
      <c r="O80" s="310"/>
      <c r="P80" s="970">
        <v>72</v>
      </c>
      <c r="Q80" s="995"/>
      <c r="R80" s="450">
        <v>1.6220773606342362</v>
      </c>
      <c r="S80" s="451">
        <v>1.6586943550091817</v>
      </c>
      <c r="T80" s="451">
        <v>1.695311349384129</v>
      </c>
      <c r="U80" s="451">
        <v>1.7319283437590762</v>
      </c>
      <c r="V80" s="451">
        <v>1.7685453381340217</v>
      </c>
      <c r="W80" s="451">
        <v>1.8051623325089707</v>
      </c>
      <c r="X80" s="451">
        <v>1.8417793268839198</v>
      </c>
      <c r="Y80" s="452">
        <v>1.8783963212588652</v>
      </c>
      <c r="Z80" s="310"/>
    </row>
    <row r="81" spans="1:26" ht="15" customHeight="1">
      <c r="A81" s="310"/>
      <c r="B81" s="970">
        <v>74</v>
      </c>
      <c r="C81" s="971"/>
      <c r="D81" s="450">
        <v>29.280347174266122</v>
      </c>
      <c r="E81" s="451">
        <v>29.82838453008312</v>
      </c>
      <c r="F81" s="451">
        <v>30.376421885900122</v>
      </c>
      <c r="G81" s="451">
        <v>30.92445924171712</v>
      </c>
      <c r="H81" s="451">
        <v>31.472496597534118</v>
      </c>
      <c r="I81" s="451">
        <v>32.02053395335112</v>
      </c>
      <c r="J81" s="451">
        <v>32.568571309168114</v>
      </c>
      <c r="K81" s="452">
        <v>33.116608664985115</v>
      </c>
      <c r="L81" s="310"/>
      <c r="M81" s="310"/>
      <c r="N81" s="310"/>
      <c r="O81" s="310"/>
      <c r="P81" s="970">
        <v>74</v>
      </c>
      <c r="Q81" s="995"/>
      <c r="R81" s="450">
        <v>-0.13885282573387414</v>
      </c>
      <c r="S81" s="451">
        <v>-0.13561546991687656</v>
      </c>
      <c r="T81" s="451">
        <v>-0.13237811409987543</v>
      </c>
      <c r="U81" s="451">
        <v>-0.12914075828287608</v>
      </c>
      <c r="V81" s="451">
        <v>-0.1259034024658785</v>
      </c>
      <c r="W81" s="451">
        <v>-0.12266604664887915</v>
      </c>
      <c r="X81" s="451">
        <v>-0.11942869083188157</v>
      </c>
      <c r="Y81" s="452">
        <v>-0.11619133501488221</v>
      </c>
      <c r="Z81" s="310"/>
    </row>
    <row r="82" spans="1:26" ht="15" customHeight="1">
      <c r="A82" s="310"/>
      <c r="B82" s="970">
        <v>76</v>
      </c>
      <c r="C82" s="971"/>
      <c r="D82" s="450">
        <v>27.500567881278922</v>
      </c>
      <c r="E82" s="451">
        <v>28.01488977687859</v>
      </c>
      <c r="F82" s="451">
        <v>28.529211672478258</v>
      </c>
      <c r="G82" s="451">
        <v>29.043533568077926</v>
      </c>
      <c r="H82" s="451">
        <v>29.55785546367759</v>
      </c>
      <c r="I82" s="451">
        <v>30.072177359277262</v>
      </c>
      <c r="J82" s="451">
        <v>30.586499254876927</v>
      </c>
      <c r="K82" s="452">
        <v>31.100821150476598</v>
      </c>
      <c r="L82" s="310"/>
      <c r="M82" s="310"/>
      <c r="N82" s="310"/>
      <c r="O82" s="310"/>
      <c r="P82" s="970">
        <v>76</v>
      </c>
      <c r="Q82" s="995"/>
      <c r="R82" s="450">
        <v>-1.9186321187210744</v>
      </c>
      <c r="S82" s="451">
        <v>-1.9491102231214086</v>
      </c>
      <c r="T82" s="451">
        <v>-1.9795883275217392</v>
      </c>
      <c r="U82" s="451">
        <v>-2.0100664319220716</v>
      </c>
      <c r="V82" s="451">
        <v>-2.0405445363224057</v>
      </c>
      <c r="W82" s="451">
        <v>-2.071022640722738</v>
      </c>
      <c r="X82" s="451">
        <v>-2.1015007451230687</v>
      </c>
      <c r="Y82" s="452">
        <v>-2.131978849523401</v>
      </c>
      <c r="Z82" s="310"/>
    </row>
    <row r="83" spans="1:26" ht="15" customHeight="1">
      <c r="A83" s="310"/>
      <c r="B83" s="970">
        <v>78</v>
      </c>
      <c r="C83" s="971"/>
      <c r="D83" s="450">
        <v>25.704263640227957</v>
      </c>
      <c r="E83" s="451">
        <v>26.184575331045714</v>
      </c>
      <c r="F83" s="451">
        <v>26.664887021863475</v>
      </c>
      <c r="G83" s="451">
        <v>27.145198712681236</v>
      </c>
      <c r="H83" s="451">
        <v>27.625510403498993</v>
      </c>
      <c r="I83" s="451">
        <v>28.105822094316753</v>
      </c>
      <c r="J83" s="451">
        <v>28.58613378513451</v>
      </c>
      <c r="K83" s="452">
        <v>29.06644547595227</v>
      </c>
      <c r="L83" s="310"/>
      <c r="M83" s="310"/>
      <c r="N83" s="310"/>
      <c r="O83" s="310"/>
      <c r="P83" s="970">
        <v>78</v>
      </c>
      <c r="Q83" s="995"/>
      <c r="R83" s="450">
        <v>-3.7149363597720413</v>
      </c>
      <c r="S83" s="451">
        <v>-3.7794246689542828</v>
      </c>
      <c r="T83" s="451">
        <v>-3.8439129781365224</v>
      </c>
      <c r="U83" s="451">
        <v>-3.908401287318762</v>
      </c>
      <c r="V83" s="451">
        <v>-3.9728895965010036</v>
      </c>
      <c r="W83" s="451">
        <v>-4.037377905683247</v>
      </c>
      <c r="X83" s="451">
        <v>-4.101866214865485</v>
      </c>
      <c r="Y83" s="452">
        <v>-4.166354524047726</v>
      </c>
      <c r="Z83" s="310"/>
    </row>
    <row r="84" spans="1:26" ht="15" customHeight="1">
      <c r="A84" s="310"/>
      <c r="B84" s="970">
        <v>80</v>
      </c>
      <c r="C84" s="971"/>
      <c r="D84" s="450">
        <v>23.89377120033067</v>
      </c>
      <c r="E84" s="451">
        <v>24.3398193779976</v>
      </c>
      <c r="F84" s="451">
        <v>24.785867555664527</v>
      </c>
      <c r="G84" s="451">
        <v>25.23191573333146</v>
      </c>
      <c r="H84" s="451">
        <v>25.67796391099839</v>
      </c>
      <c r="I84" s="451">
        <v>26.12401208866532</v>
      </c>
      <c r="J84" s="451">
        <v>26.57006026633225</v>
      </c>
      <c r="K84" s="452">
        <v>27.01610844399918</v>
      </c>
      <c r="L84" s="310"/>
      <c r="M84" s="310"/>
      <c r="N84" s="310"/>
      <c r="O84" s="310"/>
      <c r="P84" s="970">
        <v>80</v>
      </c>
      <c r="Q84" s="995"/>
      <c r="R84" s="450">
        <v>-5.52542879966933</v>
      </c>
      <c r="S84" s="451">
        <v>-5.624180622002401</v>
      </c>
      <c r="T84" s="451">
        <v>-5.72293244433547</v>
      </c>
      <c r="U84" s="451">
        <v>-5.821684266668537</v>
      </c>
      <c r="V84" s="451">
        <v>-5.920436089001608</v>
      </c>
      <c r="W84" s="451">
        <v>-6.019187911334679</v>
      </c>
      <c r="X84" s="451">
        <v>-6.117939733667747</v>
      </c>
      <c r="Y84" s="452">
        <v>-6.216691556000818</v>
      </c>
      <c r="Z84" s="310"/>
    </row>
    <row r="85" spans="1:26" ht="15" customHeight="1">
      <c r="A85" s="310"/>
      <c r="B85" s="970">
        <v>82</v>
      </c>
      <c r="C85" s="971"/>
      <c r="D85" s="450">
        <v>22.071438407147543</v>
      </c>
      <c r="E85" s="451">
        <v>22.48301150810761</v>
      </c>
      <c r="F85" s="451">
        <v>22.894584609067675</v>
      </c>
      <c r="G85" s="451">
        <v>23.30615771002774</v>
      </c>
      <c r="H85" s="451">
        <v>23.717730810987806</v>
      </c>
      <c r="I85" s="451">
        <v>24.129303911947872</v>
      </c>
      <c r="J85" s="451">
        <v>24.540877012907934</v>
      </c>
      <c r="K85" s="452">
        <v>24.952450113868004</v>
      </c>
      <c r="L85" s="310"/>
      <c r="M85" s="310"/>
      <c r="N85" s="310"/>
      <c r="O85" s="310"/>
      <c r="P85" s="970">
        <v>82</v>
      </c>
      <c r="Q85" s="995"/>
      <c r="R85" s="450">
        <v>-7.347761592852454</v>
      </c>
      <c r="S85" s="451">
        <v>-7.480988491892389</v>
      </c>
      <c r="T85" s="451">
        <v>-7.614215390932323</v>
      </c>
      <c r="U85" s="451">
        <v>-7.747442289972257</v>
      </c>
      <c r="V85" s="451">
        <v>-7.880669189012192</v>
      </c>
      <c r="W85" s="451">
        <v>-8.013896088052128</v>
      </c>
      <c r="X85" s="451">
        <v>-8.147122987092061</v>
      </c>
      <c r="Y85" s="452">
        <v>-8.280349886131996</v>
      </c>
      <c r="Z85" s="310"/>
    </row>
    <row r="86" spans="1:26" ht="15" customHeight="1">
      <c r="A86" s="310"/>
      <c r="B86" s="970">
        <v>84</v>
      </c>
      <c r="C86" s="971"/>
      <c r="D86" s="450">
        <v>20.239622563621815</v>
      </c>
      <c r="E86" s="451">
        <v>20.616551026889468</v>
      </c>
      <c r="F86" s="451">
        <v>20.99347949015712</v>
      </c>
      <c r="G86" s="451">
        <v>21.370407953424774</v>
      </c>
      <c r="H86" s="451">
        <v>21.74733641669243</v>
      </c>
      <c r="I86" s="451">
        <v>22.124264879960084</v>
      </c>
      <c r="J86" s="451">
        <v>22.501193343227733</v>
      </c>
      <c r="K86" s="452">
        <v>22.87812180649539</v>
      </c>
      <c r="L86" s="310"/>
      <c r="M86" s="310"/>
      <c r="N86" s="310"/>
      <c r="O86" s="310"/>
      <c r="P86" s="970">
        <v>84</v>
      </c>
      <c r="Q86" s="995"/>
      <c r="R86" s="450">
        <v>-9.179577436378182</v>
      </c>
      <c r="S86" s="451">
        <v>-9.347448973110529</v>
      </c>
      <c r="T86" s="451">
        <v>-9.515320509842875</v>
      </c>
      <c r="U86" s="451">
        <v>-9.683192046575222</v>
      </c>
      <c r="V86" s="451">
        <v>-9.851063583307567</v>
      </c>
      <c r="W86" s="451">
        <v>-10.018935120039917</v>
      </c>
      <c r="X86" s="451">
        <v>-10.18680665677226</v>
      </c>
      <c r="Y86" s="452">
        <v>-10.354678193504608</v>
      </c>
      <c r="Z86" s="310"/>
    </row>
    <row r="87" spans="1:26" ht="15" customHeight="1">
      <c r="A87" s="310"/>
      <c r="B87" s="970">
        <v>86</v>
      </c>
      <c r="C87" s="971"/>
      <c r="D87" s="450">
        <v>18.4006886771407</v>
      </c>
      <c r="E87" s="451">
        <v>18.742845150884826</v>
      </c>
      <c r="F87" s="451">
        <v>19.085001624628948</v>
      </c>
      <c r="G87" s="451">
        <v>19.427158098373074</v>
      </c>
      <c r="H87" s="451">
        <v>19.7693145721172</v>
      </c>
      <c r="I87" s="451">
        <v>20.111471045861325</v>
      </c>
      <c r="J87" s="451">
        <v>20.453627519605448</v>
      </c>
      <c r="K87" s="452">
        <v>20.795783993349573</v>
      </c>
      <c r="L87" s="310"/>
      <c r="M87" s="310"/>
      <c r="N87" s="310"/>
      <c r="O87" s="310"/>
      <c r="P87" s="970">
        <v>86</v>
      </c>
      <c r="Q87" s="995"/>
      <c r="R87" s="450">
        <v>-11.018511322859299</v>
      </c>
      <c r="S87" s="451">
        <v>-11.221154849115173</v>
      </c>
      <c r="T87" s="451">
        <v>-11.423798375371048</v>
      </c>
      <c r="U87" s="451">
        <v>-11.626441901626922</v>
      </c>
      <c r="V87" s="451">
        <v>-11.829085427882799</v>
      </c>
      <c r="W87" s="451">
        <v>-12.031728954138675</v>
      </c>
      <c r="X87" s="451">
        <v>-12.234372480394546</v>
      </c>
      <c r="Y87" s="452">
        <v>-12.437016006650422</v>
      </c>
      <c r="Z87" s="310"/>
    </row>
    <row r="88" spans="1:26" ht="15" customHeight="1">
      <c r="A88" s="310"/>
      <c r="B88" s="970">
        <v>88</v>
      </c>
      <c r="C88" s="971"/>
      <c r="D88" s="450">
        <v>16.55700761959699</v>
      </c>
      <c r="E88" s="451">
        <v>16.864307116299493</v>
      </c>
      <c r="F88" s="451">
        <v>17.171606613001995</v>
      </c>
      <c r="G88" s="451">
        <v>17.478906109704493</v>
      </c>
      <c r="H88" s="451">
        <v>17.786205606406995</v>
      </c>
      <c r="I88" s="451">
        <v>18.093505103109496</v>
      </c>
      <c r="J88" s="451">
        <v>18.400804599812</v>
      </c>
      <c r="K88" s="452">
        <v>18.708104096514496</v>
      </c>
      <c r="L88" s="310"/>
      <c r="M88" s="310"/>
      <c r="N88" s="310"/>
      <c r="O88" s="310"/>
      <c r="P88" s="970">
        <v>88</v>
      </c>
      <c r="Q88" s="995"/>
      <c r="R88" s="450">
        <v>-12.862192380403005</v>
      </c>
      <c r="S88" s="451">
        <v>-13.099692883700506</v>
      </c>
      <c r="T88" s="451">
        <v>-13.337193386998004</v>
      </c>
      <c r="U88" s="451">
        <v>-13.574693890295503</v>
      </c>
      <c r="V88" s="451">
        <v>-13.812194393593002</v>
      </c>
      <c r="W88" s="451">
        <v>-14.049694896890502</v>
      </c>
      <c r="X88" s="451">
        <v>-14.287195400187999</v>
      </c>
      <c r="Y88" s="452">
        <v>-14.5246959034855</v>
      </c>
      <c r="Z88" s="310"/>
    </row>
    <row r="89" spans="1:26" ht="15" customHeight="1">
      <c r="A89" s="310"/>
      <c r="B89" s="966">
        <v>90</v>
      </c>
      <c r="C89" s="967"/>
      <c r="D89" s="453">
        <v>14.710954224717105</v>
      </c>
      <c r="E89" s="454">
        <v>14.983354224717106</v>
      </c>
      <c r="F89" s="454">
        <v>15.255754224717107</v>
      </c>
      <c r="G89" s="454">
        <v>15.528154224717106</v>
      </c>
      <c r="H89" s="454">
        <v>15.800554224717107</v>
      </c>
      <c r="I89" s="454">
        <v>16.072954224717108</v>
      </c>
      <c r="J89" s="454">
        <v>16.345354224717106</v>
      </c>
      <c r="K89" s="455">
        <v>16.617754224717107</v>
      </c>
      <c r="L89" s="310"/>
      <c r="M89" s="310"/>
      <c r="N89" s="310"/>
      <c r="O89" s="310"/>
      <c r="P89" s="966">
        <v>90</v>
      </c>
      <c r="Q89" s="997"/>
      <c r="R89" s="453">
        <v>-14.708245775282892</v>
      </c>
      <c r="S89" s="454">
        <v>-14.980645775282893</v>
      </c>
      <c r="T89" s="454">
        <v>-15.25304577528289</v>
      </c>
      <c r="U89" s="454">
        <v>-15.52544577528289</v>
      </c>
      <c r="V89" s="454">
        <v>-15.797845775282891</v>
      </c>
      <c r="W89" s="454">
        <v>-16.070245775282892</v>
      </c>
      <c r="X89" s="454">
        <v>-16.34264577528289</v>
      </c>
      <c r="Y89" s="455">
        <v>-16.61504577528289</v>
      </c>
      <c r="Z89" s="310"/>
    </row>
    <row r="90" spans="1:26" ht="15" customHeight="1">
      <c r="A90" s="310"/>
      <c r="B90" s="438" t="s">
        <v>412</v>
      </c>
      <c r="C90" s="310"/>
      <c r="D90" s="310" t="s">
        <v>413</v>
      </c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10"/>
    </row>
    <row r="91" spans="1:26" ht="15" customHeight="1">
      <c r="A91" s="310"/>
      <c r="B91" s="310"/>
      <c r="C91" s="310"/>
      <c r="D91" s="437" t="s">
        <v>414</v>
      </c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</row>
    <row r="92" spans="1:26" ht="15" customHeight="1">
      <c r="A92" s="310"/>
      <c r="B92" s="310"/>
      <c r="C92" s="310"/>
      <c r="D92" s="310" t="s">
        <v>415</v>
      </c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</row>
    <row r="93" spans="1:26" ht="15" customHeight="1">
      <c r="A93" s="310"/>
      <c r="B93" s="310"/>
      <c r="C93" s="310"/>
      <c r="D93" s="310" t="s">
        <v>416</v>
      </c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</row>
    <row r="94" spans="1:26" ht="9" customHeight="1">
      <c r="A94" s="310"/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</row>
  </sheetData>
  <sheetProtection password="C661" sheet="1" objects="1" scenarios="1" selectLockedCells="1"/>
  <mergeCells count="144">
    <mergeCell ref="P88:Q88"/>
    <mergeCell ref="P89:Q89"/>
    <mergeCell ref="P83:Q83"/>
    <mergeCell ref="P84:Q84"/>
    <mergeCell ref="P85:Q85"/>
    <mergeCell ref="P86:Q86"/>
    <mergeCell ref="P87:Q87"/>
    <mergeCell ref="P78:Q78"/>
    <mergeCell ref="P79:Q79"/>
    <mergeCell ref="P80:Q80"/>
    <mergeCell ref="P81:Q81"/>
    <mergeCell ref="P82:Q82"/>
    <mergeCell ref="P73:Q73"/>
    <mergeCell ref="P74:Q74"/>
    <mergeCell ref="P75:Q75"/>
    <mergeCell ref="P76:Q76"/>
    <mergeCell ref="P77:Q77"/>
    <mergeCell ref="P68:Q68"/>
    <mergeCell ref="P69:Q69"/>
    <mergeCell ref="P70:Q70"/>
    <mergeCell ref="P71:Q71"/>
    <mergeCell ref="P72:Q72"/>
    <mergeCell ref="P63:Q63"/>
    <mergeCell ref="P64:Q64"/>
    <mergeCell ref="P65:Q65"/>
    <mergeCell ref="P66:Q66"/>
    <mergeCell ref="P67:Q67"/>
    <mergeCell ref="B89:C89"/>
    <mergeCell ref="P48:Q48"/>
    <mergeCell ref="P49:Q49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50:C50"/>
    <mergeCell ref="B51:C51"/>
    <mergeCell ref="B52:C52"/>
    <mergeCell ref="B53:C53"/>
    <mergeCell ref="B40:C40"/>
    <mergeCell ref="B41:C41"/>
    <mergeCell ref="B48:C48"/>
    <mergeCell ref="R40:S40"/>
    <mergeCell ref="R41:S41"/>
    <mergeCell ref="B43:Y43"/>
    <mergeCell ref="J40:K40"/>
    <mergeCell ref="J36:K36"/>
    <mergeCell ref="J37:K37"/>
    <mergeCell ref="J38:K38"/>
    <mergeCell ref="J33:K33"/>
    <mergeCell ref="B38:C38"/>
    <mergeCell ref="B39:C39"/>
    <mergeCell ref="J39:K39"/>
    <mergeCell ref="B49:C49"/>
    <mergeCell ref="D14:E14"/>
    <mergeCell ref="F3:W4"/>
    <mergeCell ref="D2:W2"/>
    <mergeCell ref="B31:C32"/>
    <mergeCell ref="D31:I31"/>
    <mergeCell ref="L31:Q31"/>
    <mergeCell ref="T31:Y31"/>
    <mergeCell ref="R31:S32"/>
    <mergeCell ref="J31:K32"/>
    <mergeCell ref="D9:E9"/>
    <mergeCell ref="D10:E10"/>
    <mergeCell ref="D11:E11"/>
    <mergeCell ref="D12:E12"/>
    <mergeCell ref="D13:E13"/>
    <mergeCell ref="D3:E5"/>
    <mergeCell ref="D6:E6"/>
    <mergeCell ref="D7:E7"/>
    <mergeCell ref="D8:E8"/>
    <mergeCell ref="O18:S18"/>
    <mergeCell ref="T18:T19"/>
    <mergeCell ref="U18:Y18"/>
    <mergeCell ref="B17:Y17"/>
    <mergeCell ref="B18:B19"/>
    <mergeCell ref="C18:G18"/>
    <mergeCell ref="H18:H19"/>
    <mergeCell ref="I18:M18"/>
    <mergeCell ref="N18:N19"/>
    <mergeCell ref="B30:Y30"/>
    <mergeCell ref="B46:K46"/>
    <mergeCell ref="P46:Y46"/>
    <mergeCell ref="P47:Y47"/>
    <mergeCell ref="B47:K47"/>
    <mergeCell ref="B33:C33"/>
    <mergeCell ref="B34:C34"/>
    <mergeCell ref="B35:C35"/>
    <mergeCell ref="B36:C36"/>
    <mergeCell ref="B37:C37"/>
    <mergeCell ref="J41:K41"/>
    <mergeCell ref="R33:S33"/>
    <mergeCell ref="R34:S34"/>
    <mergeCell ref="R35:S35"/>
    <mergeCell ref="R36:S36"/>
    <mergeCell ref="R37:S37"/>
    <mergeCell ref="R38:S38"/>
    <mergeCell ref="R39:S39"/>
    <mergeCell ref="J34:K34"/>
    <mergeCell ref="J35:K35"/>
  </mergeCells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tt3"/>
  <dimension ref="A1:BE44"/>
  <sheetViews>
    <sheetView showGridLines="0" zoomScalePageLayoutView="0" workbookViewId="0" topLeftCell="A8">
      <selection activeCell="AB15" sqref="AB15"/>
    </sheetView>
  </sheetViews>
  <sheetFormatPr defaultColWidth="0" defaultRowHeight="0" customHeight="1" zeroHeight="1"/>
  <cols>
    <col min="1" max="38" width="2.375" style="17" customWidth="1"/>
    <col min="39" max="39" width="20.875" style="17" hidden="1" customWidth="1"/>
    <col min="40" max="40" width="13.00390625" style="17" hidden="1" customWidth="1"/>
    <col min="41" max="42" width="4.625" style="17" hidden="1" customWidth="1"/>
    <col min="43" max="43" width="14.00390625" style="17" hidden="1" customWidth="1"/>
    <col min="44" max="44" width="4.625" style="17" hidden="1" customWidth="1"/>
    <col min="45" max="45" width="25.125" style="17" hidden="1" customWidth="1"/>
    <col min="46" max="51" width="4.625" style="17" hidden="1" customWidth="1"/>
    <col min="52" max="54" width="4.625" style="17" customWidth="1"/>
    <col min="55" max="57" width="2.375" style="17" customWidth="1"/>
    <col min="58" max="16384" width="2.375" style="17" hidden="1" customWidth="1"/>
  </cols>
  <sheetData>
    <row r="1" spans="1:37" s="36" customFormat="1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</row>
    <row r="2" spans="1:54" s="36" customFormat="1" ht="22.5" customHeight="1">
      <c r="A2" s="705" t="s">
        <v>173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6" t="s">
        <v>0</v>
      </c>
      <c r="AG2" s="707"/>
      <c r="AH2" s="707"/>
      <c r="AI2" s="707"/>
      <c r="AJ2" s="708"/>
      <c r="AK2" s="53"/>
      <c r="AL2" s="37"/>
      <c r="AM2" s="38"/>
      <c r="AN2" s="39"/>
      <c r="AO2" s="40"/>
      <c r="AP2" s="40"/>
      <c r="AQ2" s="40"/>
      <c r="AR2" s="40"/>
      <c r="AS2" s="40"/>
      <c r="AT2" s="40"/>
      <c r="AU2" s="40"/>
      <c r="AV2" s="39"/>
      <c r="AW2" s="39"/>
      <c r="AX2" s="39"/>
      <c r="AY2" s="39"/>
      <c r="AZ2" s="41"/>
      <c r="BA2" s="41"/>
      <c r="BB2" s="41"/>
    </row>
    <row r="3" spans="1:54" s="36" customFormat="1" ht="22.5" customHeight="1">
      <c r="A3" s="705"/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9" t="s">
        <v>1</v>
      </c>
      <c r="AG3" s="671"/>
      <c r="AH3" s="671"/>
      <c r="AI3" s="671"/>
      <c r="AJ3" s="710"/>
      <c r="AK3" s="53"/>
      <c r="AL3" s="37"/>
      <c r="AM3" s="38"/>
      <c r="AN3" s="39"/>
      <c r="AO3" s="40"/>
      <c r="AP3" s="40"/>
      <c r="AQ3" s="40"/>
      <c r="AR3" s="40"/>
      <c r="AS3" s="40"/>
      <c r="AT3" s="40"/>
      <c r="AU3" s="40"/>
      <c r="AV3" s="39"/>
      <c r="AW3" s="39"/>
      <c r="AX3" s="39"/>
      <c r="AY3" s="39"/>
      <c r="AZ3" s="41"/>
      <c r="BA3" s="41"/>
      <c r="BB3" s="41"/>
    </row>
    <row r="4" spans="1:54" s="36" customFormat="1" ht="15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39"/>
      <c r="AM4" s="38"/>
      <c r="AN4" s="39"/>
      <c r="AO4" s="40"/>
      <c r="AP4" s="40"/>
      <c r="AQ4" s="40"/>
      <c r="AR4" s="40"/>
      <c r="AS4" s="40"/>
      <c r="AT4" s="40"/>
      <c r="AU4" s="40"/>
      <c r="AV4" s="39"/>
      <c r="AW4" s="39"/>
      <c r="AX4" s="39"/>
      <c r="AY4" s="39"/>
      <c r="AZ4" s="41"/>
      <c r="BA4" s="41"/>
      <c r="BB4" s="41"/>
    </row>
    <row r="5" spans="1:54" s="36" customFormat="1" ht="15.75" customHeight="1">
      <c r="A5" s="585" t="s">
        <v>2</v>
      </c>
      <c r="B5" s="586"/>
      <c r="C5" s="586"/>
      <c r="D5" s="586"/>
      <c r="E5" s="586"/>
      <c r="F5" s="586"/>
      <c r="G5" s="586"/>
      <c r="H5" s="586"/>
      <c r="I5" s="586"/>
      <c r="J5" s="586"/>
      <c r="K5" s="587"/>
      <c r="L5" s="17"/>
      <c r="M5" s="585" t="s">
        <v>3</v>
      </c>
      <c r="N5" s="586"/>
      <c r="O5" s="586"/>
      <c r="P5" s="586"/>
      <c r="Q5" s="587"/>
      <c r="R5" s="17"/>
      <c r="S5" s="588" t="s">
        <v>4</v>
      </c>
      <c r="T5" s="589"/>
      <c r="U5" s="589"/>
      <c r="V5" s="589"/>
      <c r="W5" s="589"/>
      <c r="X5" s="589"/>
      <c r="Y5" s="590"/>
      <c r="Z5" s="678"/>
      <c r="AA5" s="678"/>
      <c r="AB5" s="678"/>
      <c r="AC5" s="678"/>
      <c r="AD5" s="678"/>
      <c r="AE5" s="678"/>
      <c r="AF5" s="678"/>
      <c r="AG5" s="678"/>
      <c r="AH5" s="678"/>
      <c r="AI5" s="678"/>
      <c r="AJ5" s="679"/>
      <c r="AK5" s="54"/>
      <c r="AL5" s="37"/>
      <c r="AM5" s="38"/>
      <c r="AN5" s="38"/>
      <c r="AO5" s="40"/>
      <c r="AP5" s="40"/>
      <c r="AQ5" s="40"/>
      <c r="AR5" s="40"/>
      <c r="AS5" s="40"/>
      <c r="AT5" s="40"/>
      <c r="AU5" s="40"/>
      <c r="AV5" s="42"/>
      <c r="AW5" s="38"/>
      <c r="AX5" s="38"/>
      <c r="AY5" s="39"/>
      <c r="AZ5" s="41"/>
      <c r="BA5" s="41"/>
      <c r="BB5" s="41"/>
    </row>
    <row r="6" spans="1:54" s="36" customFormat="1" ht="22.5" customHeight="1">
      <c r="A6" s="680" t="s">
        <v>5</v>
      </c>
      <c r="B6" s="681"/>
      <c r="C6" s="682"/>
      <c r="D6" s="704"/>
      <c r="E6" s="704"/>
      <c r="F6" s="704"/>
      <c r="G6" s="689"/>
      <c r="H6" s="689"/>
      <c r="I6" s="689"/>
      <c r="J6" s="690"/>
      <c r="K6" s="691"/>
      <c r="L6" s="17"/>
      <c r="M6" s="3" t="s">
        <v>6</v>
      </c>
      <c r="N6" s="692"/>
      <c r="O6" s="692"/>
      <c r="P6" s="692"/>
      <c r="Q6" s="693"/>
      <c r="R6" s="17"/>
      <c r="S6" s="574" t="s">
        <v>7</v>
      </c>
      <c r="T6" s="575"/>
      <c r="U6" s="575"/>
      <c r="V6" s="575"/>
      <c r="W6" s="575"/>
      <c r="X6" s="575"/>
      <c r="Y6" s="576"/>
      <c r="Z6" s="694"/>
      <c r="AA6" s="694"/>
      <c r="AB6" s="694"/>
      <c r="AC6" s="694"/>
      <c r="AD6" s="694"/>
      <c r="AE6" s="694"/>
      <c r="AF6" s="694"/>
      <c r="AG6" s="694"/>
      <c r="AH6" s="694"/>
      <c r="AI6" s="694"/>
      <c r="AJ6" s="695"/>
      <c r="AK6" s="55"/>
      <c r="AL6" s="37"/>
      <c r="AM6" s="38" t="s">
        <v>8</v>
      </c>
      <c r="AN6" s="43">
        <f>IF(J6="S",(ABS(D6)+(G6/60))*-1,ABS(D6)+(G6/60))</f>
        <v>0</v>
      </c>
      <c r="AO6" s="40"/>
      <c r="AP6" s="40"/>
      <c r="AQ6" s="40"/>
      <c r="AR6" s="40"/>
      <c r="AS6" s="40"/>
      <c r="AT6" s="40"/>
      <c r="AU6" s="40"/>
      <c r="AV6" s="44"/>
      <c r="AW6" s="45"/>
      <c r="AX6" s="46"/>
      <c r="AY6" s="46"/>
      <c r="AZ6" s="41"/>
      <c r="BA6" s="41"/>
      <c r="BB6" s="41"/>
    </row>
    <row r="7" spans="1:54" s="36" customFormat="1" ht="22.5" customHeight="1">
      <c r="A7" s="673" t="s">
        <v>9</v>
      </c>
      <c r="B7" s="674"/>
      <c r="C7" s="675"/>
      <c r="D7" s="696"/>
      <c r="E7" s="696"/>
      <c r="F7" s="696"/>
      <c r="G7" s="697"/>
      <c r="H7" s="697"/>
      <c r="I7" s="697"/>
      <c r="J7" s="698"/>
      <c r="K7" s="699"/>
      <c r="L7" s="17"/>
      <c r="M7" s="4" t="s">
        <v>10</v>
      </c>
      <c r="N7" s="700"/>
      <c r="O7" s="700"/>
      <c r="P7" s="700"/>
      <c r="Q7" s="701"/>
      <c r="R7" s="17"/>
      <c r="S7" s="564" t="s">
        <v>11</v>
      </c>
      <c r="T7" s="565"/>
      <c r="U7" s="565"/>
      <c r="V7" s="565"/>
      <c r="W7" s="565"/>
      <c r="X7" s="565"/>
      <c r="Y7" s="566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3"/>
      <c r="AK7" s="56"/>
      <c r="AL7" s="39"/>
      <c r="AM7" s="47" t="s">
        <v>12</v>
      </c>
      <c r="AN7" s="43">
        <f>IF(J7="W",(ABS(D7)+(G7/60))*-1,ABS(D7)+(G7/60))</f>
        <v>0</v>
      </c>
      <c r="AO7" s="38"/>
      <c r="AP7" s="48"/>
      <c r="AQ7" s="38"/>
      <c r="AR7" s="38"/>
      <c r="AS7" s="38"/>
      <c r="AT7" s="45"/>
      <c r="AU7" s="49"/>
      <c r="AV7" s="49"/>
      <c r="AW7" s="45"/>
      <c r="AX7" s="50"/>
      <c r="AY7" s="50"/>
      <c r="AZ7" s="41"/>
      <c r="BA7" s="41"/>
      <c r="BB7" s="41"/>
    </row>
    <row r="8" spans="1:54" s="36" customFormat="1" ht="6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39"/>
      <c r="AM8" s="47"/>
      <c r="AN8" s="51"/>
      <c r="AO8" s="38"/>
      <c r="AP8" s="38"/>
      <c r="AQ8" s="38"/>
      <c r="AR8" s="38"/>
      <c r="AS8" s="38"/>
      <c r="AT8" s="45"/>
      <c r="AU8" s="39"/>
      <c r="AV8" s="39"/>
      <c r="AW8" s="45"/>
      <c r="AX8" s="39"/>
      <c r="AY8" s="39"/>
      <c r="AZ8" s="41"/>
      <c r="BA8" s="41"/>
      <c r="BB8" s="41"/>
    </row>
    <row r="9" spans="1:54" s="36" customFormat="1" ht="15.75" customHeight="1">
      <c r="A9" s="585" t="s">
        <v>13</v>
      </c>
      <c r="B9" s="586"/>
      <c r="C9" s="586"/>
      <c r="D9" s="586"/>
      <c r="E9" s="586"/>
      <c r="F9" s="586"/>
      <c r="G9" s="586"/>
      <c r="H9" s="586"/>
      <c r="I9" s="586"/>
      <c r="J9" s="586"/>
      <c r="K9" s="587"/>
      <c r="L9" s="17"/>
      <c r="M9" s="585" t="s">
        <v>14</v>
      </c>
      <c r="N9" s="586"/>
      <c r="O9" s="586"/>
      <c r="P9" s="586"/>
      <c r="Q9" s="587"/>
      <c r="R9" s="5"/>
      <c r="S9" s="588" t="s">
        <v>15</v>
      </c>
      <c r="T9" s="589"/>
      <c r="U9" s="589"/>
      <c r="V9" s="589"/>
      <c r="W9" s="589"/>
      <c r="X9" s="589"/>
      <c r="Y9" s="590"/>
      <c r="Z9" s="678"/>
      <c r="AA9" s="678"/>
      <c r="AB9" s="678"/>
      <c r="AC9" s="678"/>
      <c r="AD9" s="678"/>
      <c r="AE9" s="678"/>
      <c r="AF9" s="678"/>
      <c r="AG9" s="678"/>
      <c r="AH9" s="678"/>
      <c r="AI9" s="678"/>
      <c r="AJ9" s="679"/>
      <c r="AK9" s="54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</row>
    <row r="10" spans="1:40" s="36" customFormat="1" ht="22.5" customHeight="1">
      <c r="A10" s="680" t="s">
        <v>16</v>
      </c>
      <c r="B10" s="681"/>
      <c r="C10" s="682"/>
      <c r="D10" s="683"/>
      <c r="E10" s="683"/>
      <c r="F10" s="683"/>
      <c r="G10" s="683"/>
      <c r="H10" s="683"/>
      <c r="I10" s="683"/>
      <c r="J10" s="683"/>
      <c r="K10" s="684"/>
      <c r="L10" s="17"/>
      <c r="M10" s="680" t="s">
        <v>158</v>
      </c>
      <c r="N10" s="682"/>
      <c r="O10" s="685"/>
      <c r="P10" s="685"/>
      <c r="Q10" s="686"/>
      <c r="R10" s="17"/>
      <c r="S10" s="574" t="s">
        <v>17</v>
      </c>
      <c r="T10" s="575"/>
      <c r="U10" s="575"/>
      <c r="V10" s="575"/>
      <c r="W10" s="575"/>
      <c r="X10" s="575"/>
      <c r="Y10" s="576"/>
      <c r="Z10" s="687"/>
      <c r="AA10" s="687"/>
      <c r="AB10" s="687"/>
      <c r="AC10" s="687"/>
      <c r="AD10" s="687"/>
      <c r="AE10" s="687"/>
      <c r="AF10" s="687"/>
      <c r="AG10" s="687"/>
      <c r="AH10" s="687"/>
      <c r="AI10" s="687"/>
      <c r="AJ10" s="688"/>
      <c r="AK10" s="54"/>
      <c r="AM10" s="36" t="s">
        <v>164</v>
      </c>
      <c r="AN10" s="36">
        <f>jd(YEAR(D11),MONTH(D11),DAY(D11),HOUR(N22),0,0,0)</f>
        <v>2415019.5</v>
      </c>
    </row>
    <row r="11" spans="1:40" s="36" customFormat="1" ht="22.5" customHeight="1">
      <c r="A11" s="673" t="s">
        <v>18</v>
      </c>
      <c r="B11" s="674"/>
      <c r="C11" s="675"/>
      <c r="D11" s="676"/>
      <c r="E11" s="676"/>
      <c r="F11" s="676"/>
      <c r="G11" s="676"/>
      <c r="H11" s="676"/>
      <c r="I11" s="676"/>
      <c r="J11" s="676"/>
      <c r="K11" s="677"/>
      <c r="L11" s="17"/>
      <c r="M11" s="673" t="s">
        <v>159</v>
      </c>
      <c r="N11" s="675"/>
      <c r="O11" s="661"/>
      <c r="P11" s="661"/>
      <c r="Q11" s="662"/>
      <c r="R11" s="17"/>
      <c r="S11" s="564" t="s">
        <v>19</v>
      </c>
      <c r="T11" s="565"/>
      <c r="U11" s="565"/>
      <c r="V11" s="565"/>
      <c r="W11" s="565"/>
      <c r="X11" s="565"/>
      <c r="Y11" s="566"/>
      <c r="Z11" s="663" t="s">
        <v>211</v>
      </c>
      <c r="AA11" s="664"/>
      <c r="AB11" s="664"/>
      <c r="AC11" s="664"/>
      <c r="AD11" s="665"/>
      <c r="AE11" s="667" t="s">
        <v>210</v>
      </c>
      <c r="AF11" s="668"/>
      <c r="AG11" s="668"/>
      <c r="AH11" s="668"/>
      <c r="AI11" s="668"/>
      <c r="AJ11" s="669"/>
      <c r="AK11" s="57"/>
      <c r="AM11" s="36" t="s">
        <v>161</v>
      </c>
      <c r="AN11" s="36">
        <f>jd(YEAR(D11),MONTH(D11),DAY(D11),HOUR(N22),MINUTE(N22),0,0)</f>
        <v>2415019.5</v>
      </c>
    </row>
    <row r="12" spans="1:37" s="36" customFormat="1" ht="6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2"/>
    </row>
    <row r="13" spans="1:37" s="36" customFormat="1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43" s="36" customFormat="1" ht="19.5" customHeight="1">
      <c r="A14" s="649" t="s">
        <v>174</v>
      </c>
      <c r="B14" s="649"/>
      <c r="C14" s="649"/>
      <c r="D14" s="649"/>
      <c r="E14" s="649"/>
      <c r="F14" s="649"/>
      <c r="G14" s="649"/>
      <c r="H14" s="649"/>
      <c r="I14" s="649"/>
      <c r="J14" s="649"/>
      <c r="K14" s="649"/>
      <c r="L14" s="649"/>
      <c r="M14" s="7" t="s">
        <v>20</v>
      </c>
      <c r="N14" s="670"/>
      <c r="O14" s="671"/>
      <c r="P14" s="671"/>
      <c r="Q14" s="671"/>
      <c r="R14" s="671"/>
      <c r="S14" s="671"/>
      <c r="T14" s="671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Q14" s="36">
        <f>IF(O11="AM",sunrise(DATE(YEAR(D10),MONTH(D10),DAY(D10)),O10,AN7,AN6),Sunset(DATE(YEAR(D10),MONTH(D10),DAY(D10)),O10,AN7,AN6))</f>
        <v>0.7541666666666668</v>
      </c>
    </row>
    <row r="15" spans="1:37" s="36" customFormat="1" ht="9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43" s="36" customFormat="1" ht="15.75" customHeight="1" hidden="1">
      <c r="A16" s="649" t="s">
        <v>21</v>
      </c>
      <c r="B16" s="649"/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7" t="s">
        <v>20</v>
      </c>
      <c r="N16" s="672"/>
      <c r="O16" s="666"/>
      <c r="P16" s="666"/>
      <c r="Q16" s="666"/>
      <c r="R16" s="666"/>
      <c r="S16" s="666"/>
      <c r="T16" s="66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36" t="s">
        <v>169</v>
      </c>
      <c r="AM16" s="36" t="s">
        <v>21</v>
      </c>
      <c r="AN16" s="36">
        <f>AN7/15/24</f>
        <v>0</v>
      </c>
      <c r="AQ16" s="36" t="s">
        <v>169</v>
      </c>
    </row>
    <row r="17" spans="1:37" s="36" customFormat="1" ht="12" customHeight="1" hidden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43" s="36" customFormat="1" ht="19.5" customHeight="1">
      <c r="A18" s="649" t="s">
        <v>175</v>
      </c>
      <c r="B18" s="649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7" t="s">
        <v>20</v>
      </c>
      <c r="N18" s="670"/>
      <c r="O18" s="671"/>
      <c r="P18" s="671"/>
      <c r="Q18" s="671"/>
      <c r="R18" s="671"/>
      <c r="S18" s="671"/>
      <c r="T18" s="671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N18" s="52"/>
      <c r="AQ18" s="36">
        <f>IF(O11="AM",sunrise(DATE(YEAR(D10),MONTH(D10),DAY(D10)),0,AN7,AN6),Sunset(DATE(YEAR(D10),MONTH(D10),DAY(D10)),0,AN7,AN6))</f>
        <v>0.7541666666666668</v>
      </c>
    </row>
    <row r="19" spans="1:37" s="36" customFormat="1" ht="9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45" s="36" customFormat="1" ht="19.5" customHeight="1">
      <c r="A20" s="649" t="s">
        <v>176</v>
      </c>
      <c r="B20" s="649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7" t="s">
        <v>20</v>
      </c>
      <c r="N20" s="670"/>
      <c r="O20" s="671"/>
      <c r="P20" s="671"/>
      <c r="Q20" s="671"/>
      <c r="R20" s="671"/>
      <c r="S20" s="671"/>
      <c r="T20" s="671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M20" s="36" t="s">
        <v>162</v>
      </c>
      <c r="AN20" s="36">
        <f>CivilTwilightstarts(DATE(YEAR(D10),MONTH(D10),DAY(D10)),0,AN7,AN6)</f>
        <v>0.2340277777777778</v>
      </c>
      <c r="AQ20" s="36">
        <f>IF(O11="AM",CivilTwilightstarts(DATE(YEAR(D10),MONTH(D10),DAY(D10)),0,AN7,AN6),CivilTwilightends(DATE(YEAR(D10),MONTH(D10),DAY(D10)),0,AN7,AN6))</f>
        <v>0.7701388888888889</v>
      </c>
      <c r="AS20" s="36" t="str">
        <f>IF(O11="AM","Civil Twilight (Starts)","Cilvil Twilight (Ends)")&amp;" (UTC)"</f>
        <v>Cilvil Twilight (Ends) (UTC)</v>
      </c>
    </row>
    <row r="21" spans="1:40" s="36" customFormat="1" ht="9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M21" s="36" t="s">
        <v>163</v>
      </c>
      <c r="AN21" s="36">
        <f>CivilTwilightends(DATE(YEAR(D10),MONTH(D10),DAY(D10)),0,AN7,AN6)</f>
        <v>0.7701388888888889</v>
      </c>
    </row>
    <row r="22" spans="1:45" s="36" customFormat="1" ht="19.5" customHeight="1">
      <c r="A22" s="649" t="s">
        <v>160</v>
      </c>
      <c r="B22" s="649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7" t="s">
        <v>20</v>
      </c>
      <c r="N22" s="670"/>
      <c r="O22" s="671"/>
      <c r="P22" s="671"/>
      <c r="Q22" s="671"/>
      <c r="R22" s="671"/>
      <c r="S22" s="671"/>
      <c r="T22" s="671"/>
      <c r="U22" s="622" t="s">
        <v>22</v>
      </c>
      <c r="V22" s="622"/>
      <c r="W22" s="649" t="s">
        <v>23</v>
      </c>
      <c r="X22" s="649"/>
      <c r="Y22" s="649"/>
      <c r="Z22" s="649"/>
      <c r="AA22" s="649"/>
      <c r="AB22" s="649"/>
      <c r="AC22" s="17" t="s">
        <v>20</v>
      </c>
      <c r="AD22" s="650"/>
      <c r="AE22" s="650"/>
      <c r="AF22" s="650"/>
      <c r="AG22" s="650"/>
      <c r="AH22" s="650"/>
      <c r="AI22" s="650"/>
      <c r="AJ22" s="650"/>
      <c r="AK22" s="58"/>
      <c r="AM22" s="36" t="s">
        <v>165</v>
      </c>
      <c r="AN22" s="36">
        <f>SternzeitGreenwich(AN10)</f>
        <v>99.19812891574111</v>
      </c>
      <c r="AQ22" s="52">
        <f>N20</f>
        <v>0</v>
      </c>
      <c r="AS22" s="36" t="str">
        <f>TEXT(INT(AN22),"000")&amp;"° "&amp;TEXT((AN22-INT(AN22))*60,"00,0")&amp;"'"</f>
        <v>099° 11,9'</v>
      </c>
    </row>
    <row r="23" spans="1:40" s="36" customFormat="1" ht="9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20"/>
      <c r="AE23" s="20"/>
      <c r="AF23" s="20"/>
      <c r="AG23" s="20"/>
      <c r="AH23" s="20"/>
      <c r="AI23" s="20"/>
      <c r="AJ23" s="20"/>
      <c r="AK23" s="20"/>
      <c r="AM23" s="36" t="s">
        <v>165</v>
      </c>
      <c r="AN23" s="36">
        <f>SternzeitGreenwich(AN11)</f>
        <v>99.19812891574111</v>
      </c>
    </row>
    <row r="24" spans="1:45" s="36" customFormat="1" ht="19.5" customHeight="1">
      <c r="A24" s="649" t="s">
        <v>24</v>
      </c>
      <c r="B24" s="649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7" t="s">
        <v>20</v>
      </c>
      <c r="N24" s="666"/>
      <c r="O24" s="666"/>
      <c r="P24" s="666"/>
      <c r="Q24" s="666"/>
      <c r="R24" s="666"/>
      <c r="S24" s="666"/>
      <c r="T24" s="666"/>
      <c r="U24" s="17"/>
      <c r="V24" s="17"/>
      <c r="W24" s="649" t="s">
        <v>25</v>
      </c>
      <c r="X24" s="649"/>
      <c r="Y24" s="649"/>
      <c r="Z24" s="649"/>
      <c r="AA24" s="649"/>
      <c r="AB24" s="649"/>
      <c r="AC24" s="17" t="s">
        <v>20</v>
      </c>
      <c r="AD24" s="650"/>
      <c r="AE24" s="650"/>
      <c r="AF24" s="650"/>
      <c r="AG24" s="650"/>
      <c r="AH24" s="650"/>
      <c r="AI24" s="650"/>
      <c r="AJ24" s="650"/>
      <c r="AK24" s="58"/>
      <c r="AM24" s="36" t="s">
        <v>166</v>
      </c>
      <c r="AN24" s="36">
        <f>AN23-AN22</f>
        <v>0</v>
      </c>
      <c r="AQ24" s="36">
        <f>ABS(O10/24)</f>
        <v>0</v>
      </c>
      <c r="AS24" s="36" t="str">
        <f>TEXT(INT(AN24),"000")&amp;"° "&amp;TEXT((AN24-INT(AN24))*60,"00,0")&amp;"'"</f>
        <v>000° 00,0'</v>
      </c>
    </row>
    <row r="25" spans="1:40" s="36" customFormat="1" ht="9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0"/>
      <c r="AE25" s="20"/>
      <c r="AF25" s="20"/>
      <c r="AG25" s="20"/>
      <c r="AH25" s="20"/>
      <c r="AI25" s="20"/>
      <c r="AJ25" s="20"/>
      <c r="AK25" s="20"/>
      <c r="AM25" s="36" t="s">
        <v>168</v>
      </c>
      <c r="AN25" s="36">
        <f>O10/24</f>
        <v>0</v>
      </c>
    </row>
    <row r="26" spans="1:45" s="36" customFormat="1" ht="19.5" customHeight="1" thickBot="1">
      <c r="A26" s="649" t="s">
        <v>26</v>
      </c>
      <c r="B26" s="649"/>
      <c r="C26" s="649"/>
      <c r="D26" s="649"/>
      <c r="E26" s="649"/>
      <c r="F26" s="649"/>
      <c r="G26" s="649"/>
      <c r="H26" s="649"/>
      <c r="I26" s="649"/>
      <c r="J26" s="649"/>
      <c r="K26" s="649"/>
      <c r="L26" s="649"/>
      <c r="M26" s="7" t="s">
        <v>20</v>
      </c>
      <c r="N26" s="657"/>
      <c r="O26" s="658"/>
      <c r="P26" s="658"/>
      <c r="Q26" s="658"/>
      <c r="R26" s="658"/>
      <c r="S26" s="658"/>
      <c r="T26" s="658"/>
      <c r="U26" s="17"/>
      <c r="V26" s="17"/>
      <c r="W26" s="649" t="s">
        <v>23</v>
      </c>
      <c r="X26" s="649"/>
      <c r="Y26" s="649"/>
      <c r="Z26" s="649"/>
      <c r="AA26" s="649"/>
      <c r="AB26" s="649"/>
      <c r="AC26" s="17" t="s">
        <v>20</v>
      </c>
      <c r="AD26" s="650"/>
      <c r="AE26" s="650"/>
      <c r="AF26" s="650"/>
      <c r="AG26" s="650"/>
      <c r="AH26" s="650"/>
      <c r="AI26" s="650"/>
      <c r="AJ26" s="650"/>
      <c r="AK26" s="58"/>
      <c r="AQ26" s="52">
        <f>N22+N24</f>
        <v>0</v>
      </c>
      <c r="AS26" s="36" t="str">
        <f>TEXT(INT(AN23),"000")&amp;"° "&amp;TEXT((AN23-INT(AN23))*60,"00,0")&amp;"'"</f>
        <v>099° 11,9'</v>
      </c>
    </row>
    <row r="27" spans="1:37" s="36" customFormat="1" ht="9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20"/>
      <c r="AE27" s="20"/>
      <c r="AF27" s="20"/>
      <c r="AG27" s="20"/>
      <c r="AH27" s="20"/>
      <c r="AI27" s="20"/>
      <c r="AJ27" s="20"/>
      <c r="AK27" s="20"/>
    </row>
    <row r="28" spans="1:45" s="36" customFormat="1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649" t="s">
        <v>167</v>
      </c>
      <c r="X28" s="649"/>
      <c r="Y28" s="649"/>
      <c r="Z28" s="649"/>
      <c r="AA28" s="649"/>
      <c r="AB28" s="649"/>
      <c r="AC28" s="17" t="s">
        <v>20</v>
      </c>
      <c r="AD28" s="650"/>
      <c r="AE28" s="650"/>
      <c r="AF28" s="650"/>
      <c r="AG28" s="650"/>
      <c r="AH28" s="650"/>
      <c r="AI28" s="650"/>
      <c r="AJ28" s="650"/>
      <c r="AK28" s="58"/>
      <c r="AS28" s="36" t="str">
        <f>TEXT(D7,"000")&amp;"° "&amp;TEXT(G7,"00,0")&amp;"' "&amp;J7</f>
        <v>000° 00,0' </v>
      </c>
    </row>
    <row r="29" spans="1:37" s="36" customFormat="1" ht="9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20"/>
      <c r="AE29" s="20"/>
      <c r="AF29" s="20"/>
      <c r="AG29" s="20"/>
      <c r="AH29" s="20"/>
      <c r="AI29" s="20"/>
      <c r="AJ29" s="20"/>
      <c r="AK29" s="20"/>
    </row>
    <row r="30" spans="1:45" s="36" customFormat="1" ht="19.5" customHeight="1" thickBo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649" t="s">
        <v>27</v>
      </c>
      <c r="X30" s="649"/>
      <c r="Y30" s="649"/>
      <c r="Z30" s="649"/>
      <c r="AA30" s="649"/>
      <c r="AB30" s="649"/>
      <c r="AC30" s="17" t="s">
        <v>20</v>
      </c>
      <c r="AD30" s="651"/>
      <c r="AE30" s="651"/>
      <c r="AF30" s="651"/>
      <c r="AG30" s="651"/>
      <c r="AH30" s="651"/>
      <c r="AI30" s="651"/>
      <c r="AJ30" s="651"/>
      <c r="AK30" s="58"/>
      <c r="AN30" s="36">
        <f>AN23+AN7</f>
        <v>99.19812891574111</v>
      </c>
      <c r="AS30" s="36" t="str">
        <f>TEXT(INT(AN30),"000")&amp;"° "&amp;TEXT((AN30-INT(AN30))*60,"00,0")&amp;"'"</f>
        <v>099° 11,9'</v>
      </c>
    </row>
    <row r="31" spans="1:37" s="36" customFormat="1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s="36" customFormat="1" ht="21.75" customHeight="1">
      <c r="A32" s="645" t="s">
        <v>28</v>
      </c>
      <c r="B32" s="646"/>
      <c r="C32" s="646"/>
      <c r="D32" s="646"/>
      <c r="E32" s="646"/>
      <c r="F32" s="646"/>
      <c r="G32" s="646"/>
      <c r="H32" s="652"/>
      <c r="I32" s="652"/>
      <c r="J32" s="652"/>
      <c r="K32" s="652"/>
      <c r="L32" s="653"/>
      <c r="M32" s="654" t="s">
        <v>22</v>
      </c>
      <c r="N32" s="655"/>
      <c r="O32" s="656" t="s">
        <v>29</v>
      </c>
      <c r="P32" s="656"/>
      <c r="Q32" s="656"/>
      <c r="R32" s="656"/>
      <c r="S32" s="656"/>
      <c r="T32" s="656"/>
      <c r="U32" s="656"/>
      <c r="V32" s="656"/>
      <c r="W32" s="656"/>
      <c r="X32" s="656"/>
      <c r="Y32" s="656"/>
      <c r="Z32" s="656"/>
      <c r="AA32" s="656"/>
      <c r="AB32" s="656"/>
      <c r="AC32" s="656"/>
      <c r="AD32" s="656"/>
      <c r="AE32" s="656"/>
      <c r="AF32" s="656"/>
      <c r="AG32" s="656"/>
      <c r="AH32" s="656"/>
      <c r="AI32" s="656"/>
      <c r="AJ32" s="656"/>
      <c r="AK32" s="19"/>
    </row>
    <row r="33" spans="1:37" s="36" customFormat="1" ht="21.75" customHeight="1">
      <c r="A33" s="645" t="s">
        <v>30</v>
      </c>
      <c r="B33" s="646"/>
      <c r="C33" s="646"/>
      <c r="D33" s="646"/>
      <c r="E33" s="646"/>
      <c r="F33" s="646"/>
      <c r="G33" s="646"/>
      <c r="H33" s="647"/>
      <c r="I33" s="647"/>
      <c r="J33" s="647"/>
      <c r="K33" s="647"/>
      <c r="L33" s="648"/>
      <c r="M33" s="654"/>
      <c r="N33" s="655"/>
      <c r="O33" s="656"/>
      <c r="P33" s="656"/>
      <c r="Q33" s="656"/>
      <c r="R33" s="656"/>
      <c r="S33" s="656"/>
      <c r="T33" s="656"/>
      <c r="U33" s="656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6"/>
      <c r="AH33" s="656"/>
      <c r="AI33" s="656"/>
      <c r="AJ33" s="656"/>
      <c r="AK33" s="19"/>
    </row>
    <row r="34" spans="1:37" s="36" customFormat="1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2:57" ht="15" customHeight="1">
      <c r="B35" s="644" t="s">
        <v>31</v>
      </c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X35" s="644" t="s">
        <v>32</v>
      </c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4"/>
      <c r="AK35" s="18"/>
      <c r="AL35" s="36"/>
      <c r="AZ35" s="32" t="s">
        <v>171</v>
      </c>
      <c r="BA35" s="659" t="s">
        <v>172</v>
      </c>
      <c r="BB35" s="659"/>
      <c r="BC35" s="659"/>
      <c r="BD35" s="659"/>
      <c r="BE35" s="659"/>
    </row>
    <row r="36" spans="2:57" ht="15.75">
      <c r="B36" s="660" t="s">
        <v>33</v>
      </c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 t="s">
        <v>34</v>
      </c>
      <c r="N36" s="660"/>
      <c r="O36" s="660"/>
      <c r="P36" s="660"/>
      <c r="Q36" s="660"/>
      <c r="R36" s="660" t="s">
        <v>35</v>
      </c>
      <c r="S36" s="660"/>
      <c r="T36" s="660"/>
      <c r="U36" s="660"/>
      <c r="V36" s="660"/>
      <c r="W36" s="8"/>
      <c r="X36" s="660" t="s">
        <v>36</v>
      </c>
      <c r="Y36" s="660"/>
      <c r="Z36" s="660"/>
      <c r="AA36" s="660"/>
      <c r="AB36" s="660"/>
      <c r="AC36" s="660"/>
      <c r="AD36" s="660" t="s">
        <v>37</v>
      </c>
      <c r="AE36" s="660"/>
      <c r="AF36" s="660"/>
      <c r="AG36" s="660"/>
      <c r="AH36" s="660"/>
      <c r="AI36" s="660"/>
      <c r="AJ36" s="660"/>
      <c r="AK36" s="59"/>
      <c r="AL36" s="36"/>
      <c r="AZ36" s="33"/>
      <c r="BA36" s="659"/>
      <c r="BB36" s="659"/>
      <c r="BC36" s="659"/>
      <c r="BD36" s="659"/>
      <c r="BE36" s="659"/>
    </row>
    <row r="37" spans="1:57" ht="24.75" customHeight="1">
      <c r="A37" s="9">
        <v>1</v>
      </c>
      <c r="B37" s="640"/>
      <c r="C37" s="640"/>
      <c r="D37" s="640"/>
      <c r="E37" s="640"/>
      <c r="F37" s="640"/>
      <c r="G37" s="640"/>
      <c r="H37" s="640"/>
      <c r="I37" s="640"/>
      <c r="J37" s="640"/>
      <c r="K37" s="640"/>
      <c r="L37" s="640"/>
      <c r="M37" s="641"/>
      <c r="N37" s="641"/>
      <c r="O37" s="641"/>
      <c r="P37" s="641"/>
      <c r="Q37" s="641"/>
      <c r="R37" s="642"/>
      <c r="S37" s="642"/>
      <c r="T37" s="642"/>
      <c r="U37" s="642"/>
      <c r="V37" s="642"/>
      <c r="X37" s="643"/>
      <c r="Y37" s="643"/>
      <c r="Z37" s="643"/>
      <c r="AA37" s="643"/>
      <c r="AB37" s="643"/>
      <c r="AC37" s="643"/>
      <c r="AD37" s="643"/>
      <c r="AE37" s="643"/>
      <c r="AF37" s="643"/>
      <c r="AG37" s="643"/>
      <c r="AH37" s="643"/>
      <c r="AI37" s="643"/>
      <c r="AJ37" s="643"/>
      <c r="AK37" s="54"/>
      <c r="AL37" s="36"/>
      <c r="AM37" s="34" t="b">
        <v>0</v>
      </c>
      <c r="AZ37" s="32"/>
      <c r="BA37" s="659"/>
      <c r="BB37" s="659"/>
      <c r="BC37" s="659"/>
      <c r="BD37" s="659"/>
      <c r="BE37" s="659"/>
    </row>
    <row r="38" spans="1:57" ht="24.75" customHeight="1">
      <c r="A38" s="9">
        <v>2</v>
      </c>
      <c r="B38" s="640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641"/>
      <c r="O38" s="641"/>
      <c r="P38" s="641"/>
      <c r="Q38" s="641"/>
      <c r="R38" s="642"/>
      <c r="S38" s="642"/>
      <c r="T38" s="642"/>
      <c r="U38" s="642"/>
      <c r="V38" s="642"/>
      <c r="X38" s="643"/>
      <c r="Y38" s="643"/>
      <c r="Z38" s="643"/>
      <c r="AA38" s="643"/>
      <c r="AB38" s="643"/>
      <c r="AC38" s="643"/>
      <c r="AD38" s="643"/>
      <c r="AE38" s="643"/>
      <c r="AF38" s="643"/>
      <c r="AG38" s="643"/>
      <c r="AH38" s="643"/>
      <c r="AI38" s="643"/>
      <c r="AJ38" s="643"/>
      <c r="AK38" s="54"/>
      <c r="AL38" s="36"/>
      <c r="AM38" s="34" t="b">
        <v>0</v>
      </c>
      <c r="AZ38" s="32"/>
      <c r="BA38" s="659"/>
      <c r="BB38" s="659"/>
      <c r="BC38" s="659"/>
      <c r="BD38" s="659"/>
      <c r="BE38" s="659"/>
    </row>
    <row r="39" spans="1:57" ht="24.75" customHeight="1">
      <c r="A39" s="9">
        <v>3</v>
      </c>
      <c r="B39" s="640"/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1"/>
      <c r="N39" s="641"/>
      <c r="O39" s="641"/>
      <c r="P39" s="641"/>
      <c r="Q39" s="641"/>
      <c r="R39" s="642"/>
      <c r="S39" s="642"/>
      <c r="T39" s="642"/>
      <c r="U39" s="642"/>
      <c r="V39" s="642"/>
      <c r="X39" s="643"/>
      <c r="Y39" s="643"/>
      <c r="Z39" s="643"/>
      <c r="AA39" s="643"/>
      <c r="AB39" s="643"/>
      <c r="AC39" s="643"/>
      <c r="AD39" s="643"/>
      <c r="AE39" s="643"/>
      <c r="AF39" s="643"/>
      <c r="AG39" s="643"/>
      <c r="AH39" s="643"/>
      <c r="AI39" s="643"/>
      <c r="AJ39" s="643"/>
      <c r="AK39" s="54"/>
      <c r="AL39" s="36"/>
      <c r="AM39" s="34" t="b">
        <v>0</v>
      </c>
      <c r="AZ39" s="32"/>
      <c r="BA39" s="659"/>
      <c r="BB39" s="659"/>
      <c r="BC39" s="659"/>
      <c r="BD39" s="659"/>
      <c r="BE39" s="659"/>
    </row>
    <row r="40" spans="1:57" ht="24.75" customHeight="1">
      <c r="A40" s="9">
        <v>4</v>
      </c>
      <c r="B40" s="640"/>
      <c r="C40" s="640"/>
      <c r="D40" s="640"/>
      <c r="E40" s="640"/>
      <c r="F40" s="640"/>
      <c r="G40" s="640"/>
      <c r="H40" s="640"/>
      <c r="I40" s="640"/>
      <c r="J40" s="640"/>
      <c r="K40" s="640"/>
      <c r="L40" s="640"/>
      <c r="M40" s="641"/>
      <c r="N40" s="641"/>
      <c r="O40" s="641"/>
      <c r="P40" s="641"/>
      <c r="Q40" s="641"/>
      <c r="R40" s="642"/>
      <c r="S40" s="642"/>
      <c r="T40" s="642"/>
      <c r="U40" s="642"/>
      <c r="V40" s="642"/>
      <c r="X40" s="643"/>
      <c r="Y40" s="643"/>
      <c r="Z40" s="643"/>
      <c r="AA40" s="643"/>
      <c r="AB40" s="643"/>
      <c r="AC40" s="643"/>
      <c r="AD40" s="643"/>
      <c r="AE40" s="643"/>
      <c r="AF40" s="643"/>
      <c r="AG40" s="643"/>
      <c r="AH40" s="643"/>
      <c r="AI40" s="643"/>
      <c r="AJ40" s="643"/>
      <c r="AK40" s="54"/>
      <c r="AL40" s="36"/>
      <c r="AM40" s="34" t="b">
        <v>0</v>
      </c>
      <c r="AZ40" s="32"/>
      <c r="BA40" s="659"/>
      <c r="BB40" s="659"/>
      <c r="BC40" s="659"/>
      <c r="BD40" s="659"/>
      <c r="BE40" s="659"/>
    </row>
    <row r="41" spans="1:57" ht="24.75" customHeight="1">
      <c r="A41" s="9">
        <v>5</v>
      </c>
      <c r="B41" s="640"/>
      <c r="C41" s="640"/>
      <c r="D41" s="640"/>
      <c r="E41" s="640"/>
      <c r="F41" s="640"/>
      <c r="G41" s="640"/>
      <c r="H41" s="640"/>
      <c r="I41" s="640"/>
      <c r="J41" s="640"/>
      <c r="K41" s="640"/>
      <c r="L41" s="640"/>
      <c r="M41" s="641"/>
      <c r="N41" s="641"/>
      <c r="O41" s="641"/>
      <c r="P41" s="641"/>
      <c r="Q41" s="641"/>
      <c r="R41" s="642"/>
      <c r="S41" s="642"/>
      <c r="T41" s="642"/>
      <c r="U41" s="642"/>
      <c r="V41" s="642"/>
      <c r="X41" s="643"/>
      <c r="Y41" s="643"/>
      <c r="Z41" s="643"/>
      <c r="AA41" s="643"/>
      <c r="AB41" s="643"/>
      <c r="AC41" s="643"/>
      <c r="AD41" s="643"/>
      <c r="AE41" s="643"/>
      <c r="AF41" s="643"/>
      <c r="AG41" s="643"/>
      <c r="AH41" s="643"/>
      <c r="AI41" s="643"/>
      <c r="AJ41" s="643"/>
      <c r="AK41" s="54"/>
      <c r="AL41" s="36"/>
      <c r="AM41" s="34" t="b">
        <v>0</v>
      </c>
      <c r="AZ41" s="32"/>
      <c r="BA41" s="659"/>
      <c r="BB41" s="659"/>
      <c r="BC41" s="659"/>
      <c r="BD41" s="659"/>
      <c r="BE41" s="659"/>
    </row>
    <row r="42" spans="1:57" ht="24.75" customHeight="1">
      <c r="A42" s="9">
        <v>6</v>
      </c>
      <c r="B42" s="640"/>
      <c r="C42" s="640"/>
      <c r="D42" s="640"/>
      <c r="E42" s="640"/>
      <c r="F42" s="640"/>
      <c r="G42" s="640"/>
      <c r="H42" s="640"/>
      <c r="I42" s="640"/>
      <c r="J42" s="640"/>
      <c r="K42" s="640"/>
      <c r="L42" s="640"/>
      <c r="M42" s="641"/>
      <c r="N42" s="641"/>
      <c r="O42" s="641"/>
      <c r="P42" s="641"/>
      <c r="Q42" s="641"/>
      <c r="R42" s="642"/>
      <c r="S42" s="642"/>
      <c r="T42" s="642"/>
      <c r="U42" s="642"/>
      <c r="V42" s="642"/>
      <c r="X42" s="643"/>
      <c r="Y42" s="643"/>
      <c r="Z42" s="643"/>
      <c r="AA42" s="643"/>
      <c r="AB42" s="643"/>
      <c r="AC42" s="643"/>
      <c r="AD42" s="643"/>
      <c r="AE42" s="643"/>
      <c r="AF42" s="643"/>
      <c r="AG42" s="643"/>
      <c r="AH42" s="643"/>
      <c r="AI42" s="643"/>
      <c r="AJ42" s="643"/>
      <c r="AK42" s="54"/>
      <c r="AL42" s="36"/>
      <c r="AM42" s="34" t="b">
        <v>0</v>
      </c>
      <c r="AZ42" s="32"/>
      <c r="BA42" s="659"/>
      <c r="BB42" s="659"/>
      <c r="BC42" s="659"/>
      <c r="BD42" s="659"/>
      <c r="BE42" s="659"/>
    </row>
    <row r="43" spans="1:57" ht="24.75" customHeight="1">
      <c r="A43" s="9">
        <v>7</v>
      </c>
      <c r="B43" s="640"/>
      <c r="C43" s="640"/>
      <c r="D43" s="640"/>
      <c r="E43" s="640"/>
      <c r="F43" s="640"/>
      <c r="G43" s="640"/>
      <c r="H43" s="640"/>
      <c r="I43" s="640"/>
      <c r="J43" s="640"/>
      <c r="K43" s="640"/>
      <c r="L43" s="640"/>
      <c r="M43" s="641"/>
      <c r="N43" s="641"/>
      <c r="O43" s="641"/>
      <c r="P43" s="641"/>
      <c r="Q43" s="641"/>
      <c r="R43" s="642"/>
      <c r="S43" s="642"/>
      <c r="T43" s="642"/>
      <c r="U43" s="642"/>
      <c r="V43" s="642"/>
      <c r="X43" s="643"/>
      <c r="Y43" s="643"/>
      <c r="Z43" s="643"/>
      <c r="AA43" s="643"/>
      <c r="AB43" s="643"/>
      <c r="AC43" s="643"/>
      <c r="AD43" s="643"/>
      <c r="AE43" s="643"/>
      <c r="AF43" s="643"/>
      <c r="AG43" s="643"/>
      <c r="AH43" s="643"/>
      <c r="AI43" s="643"/>
      <c r="AJ43" s="643"/>
      <c r="AK43" s="54"/>
      <c r="AL43" s="36"/>
      <c r="AM43" s="34" t="b">
        <v>0</v>
      </c>
      <c r="AZ43" s="32"/>
      <c r="BA43" s="659"/>
      <c r="BB43" s="659"/>
      <c r="BC43" s="659"/>
      <c r="BD43" s="659"/>
      <c r="BE43" s="659"/>
    </row>
    <row r="44" spans="1:57" s="35" customFormat="1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2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</sheetData>
  <sheetProtection password="C661" sheet="1" selectLockedCells="1"/>
  <mergeCells count="112">
    <mergeCell ref="A2:AE3"/>
    <mergeCell ref="AF2:AJ2"/>
    <mergeCell ref="AF3:AJ3"/>
    <mergeCell ref="A5:K5"/>
    <mergeCell ref="M5:Q5"/>
    <mergeCell ref="S5:Y5"/>
    <mergeCell ref="Z5:AJ5"/>
    <mergeCell ref="Z6:AJ6"/>
    <mergeCell ref="A7:C7"/>
    <mergeCell ref="D7:F7"/>
    <mergeCell ref="G7:I7"/>
    <mergeCell ref="J7:K7"/>
    <mergeCell ref="N7:Q7"/>
    <mergeCell ref="S7:Y7"/>
    <mergeCell ref="Z7:AJ7"/>
    <mergeCell ref="A6:C6"/>
    <mergeCell ref="D6:F6"/>
    <mergeCell ref="G6:I6"/>
    <mergeCell ref="J6:K6"/>
    <mergeCell ref="N6:Q6"/>
    <mergeCell ref="S6:Y6"/>
    <mergeCell ref="A9:K9"/>
    <mergeCell ref="M9:Q9"/>
    <mergeCell ref="S9:Y9"/>
    <mergeCell ref="Z9:AJ9"/>
    <mergeCell ref="A10:C10"/>
    <mergeCell ref="D10:K10"/>
    <mergeCell ref="M10:N10"/>
    <mergeCell ref="O10:Q10"/>
    <mergeCell ref="S10:Y10"/>
    <mergeCell ref="Z10:AJ10"/>
    <mergeCell ref="A20:L20"/>
    <mergeCell ref="N20:T20"/>
    <mergeCell ref="A22:L22"/>
    <mergeCell ref="N22:T22"/>
    <mergeCell ref="U22:V22"/>
    <mergeCell ref="W22:AB22"/>
    <mergeCell ref="N14:T14"/>
    <mergeCell ref="A16:L16"/>
    <mergeCell ref="N16:T16"/>
    <mergeCell ref="A18:L18"/>
    <mergeCell ref="N18:T18"/>
    <mergeCell ref="A11:C11"/>
    <mergeCell ref="D11:K11"/>
    <mergeCell ref="M11:N11"/>
    <mergeCell ref="O11:Q11"/>
    <mergeCell ref="S11:Y11"/>
    <mergeCell ref="Z11:AD11"/>
    <mergeCell ref="AD22:AJ22"/>
    <mergeCell ref="A24:L24"/>
    <mergeCell ref="N24:T24"/>
    <mergeCell ref="W24:AB24"/>
    <mergeCell ref="AD24:AJ24"/>
    <mergeCell ref="AE11:AJ11"/>
    <mergeCell ref="A14:L14"/>
    <mergeCell ref="A26:L26"/>
    <mergeCell ref="N26:T26"/>
    <mergeCell ref="W26:AB26"/>
    <mergeCell ref="AD26:AJ26"/>
    <mergeCell ref="BA35:BE43"/>
    <mergeCell ref="B36:L36"/>
    <mergeCell ref="M36:Q36"/>
    <mergeCell ref="R36:V36"/>
    <mergeCell ref="X36:AC36"/>
    <mergeCell ref="AD36:AJ36"/>
    <mergeCell ref="W28:AB28"/>
    <mergeCell ref="AD28:AJ28"/>
    <mergeCell ref="W30:AB30"/>
    <mergeCell ref="AD30:AJ30"/>
    <mergeCell ref="A32:G32"/>
    <mergeCell ref="H32:L32"/>
    <mergeCell ref="M32:N33"/>
    <mergeCell ref="O32:AJ33"/>
    <mergeCell ref="A33:G33"/>
    <mergeCell ref="H33:L33"/>
    <mergeCell ref="R37:V37"/>
    <mergeCell ref="X37:AC37"/>
    <mergeCell ref="AD37:AJ37"/>
    <mergeCell ref="B38:L38"/>
    <mergeCell ref="M38:Q38"/>
    <mergeCell ref="R38:V38"/>
    <mergeCell ref="X38:AC38"/>
    <mergeCell ref="AD38:AJ38"/>
    <mergeCell ref="B35:V35"/>
    <mergeCell ref="X35:AJ35"/>
    <mergeCell ref="B39:L39"/>
    <mergeCell ref="M39:Q39"/>
    <mergeCell ref="R39:V39"/>
    <mergeCell ref="X39:AC39"/>
    <mergeCell ref="AD39:AJ39"/>
    <mergeCell ref="B37:L37"/>
    <mergeCell ref="M37:Q37"/>
    <mergeCell ref="B40:L40"/>
    <mergeCell ref="M40:Q40"/>
    <mergeCell ref="R40:V40"/>
    <mergeCell ref="X40:AC40"/>
    <mergeCell ref="AD40:AJ40"/>
    <mergeCell ref="B43:L43"/>
    <mergeCell ref="M43:Q43"/>
    <mergeCell ref="R43:V43"/>
    <mergeCell ref="X43:AC43"/>
    <mergeCell ref="AD43:AJ43"/>
    <mergeCell ref="B41:L41"/>
    <mergeCell ref="M41:Q41"/>
    <mergeCell ref="R41:V41"/>
    <mergeCell ref="X41:AC41"/>
    <mergeCell ref="AD41:AJ41"/>
    <mergeCell ref="B42:L42"/>
    <mergeCell ref="M42:Q42"/>
    <mergeCell ref="R42:V42"/>
    <mergeCell ref="X42:AC42"/>
    <mergeCell ref="AD42:AJ42"/>
  </mergeCells>
  <conditionalFormatting sqref="B37:V37">
    <cfRule type="expression" priority="2" dxfId="19">
      <formula>IF($AM37=TRUE,1,0)</formula>
    </cfRule>
  </conditionalFormatting>
  <conditionalFormatting sqref="B38:V43">
    <cfRule type="expression" priority="1" dxfId="19">
      <formula>IF($AM38=TRUE,1,0)</formula>
    </cfRule>
  </conditionalFormatting>
  <dataValidations count="2">
    <dataValidation type="list" allowBlank="1" showInputMessage="1" showErrorMessage="1" sqref="O11:Q11">
      <formula1>"AM,PM"</formula1>
    </dataValidation>
    <dataValidation type="decimal" allowBlank="1" showInputMessage="1" showErrorMessage="1" sqref="G6:I7">
      <formula1>0</formula1>
      <formula2>59.99</formula2>
    </dataValidation>
  </dataValidations>
  <printOptions/>
  <pageMargins left="0.7900000000000001" right="0.39000000000000007" top="0.7900000000000001" bottom="0.5905511811023623" header="0.5" footer="0.5"/>
  <pageSetup orientation="portrait" paperSize="9"/>
  <headerFooter alignWithMargins="0">
    <oddHeader>&amp;L&amp;"Cambria Math,Fett"&amp;14&amp;K000000LPG "PAZAFIK"</oddHeader>
  </headerFooter>
  <colBreaks count="1" manualBreakCount="1">
    <brk id="37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tt2"/>
  <dimension ref="B2:E69"/>
  <sheetViews>
    <sheetView zoomScalePageLayoutView="0" workbookViewId="0" topLeftCell="A1">
      <selection activeCell="H58" sqref="H58"/>
    </sheetView>
  </sheetViews>
  <sheetFormatPr defaultColWidth="9.375" defaultRowHeight="15.75"/>
  <cols>
    <col min="1" max="1" width="3.125" style="11" customWidth="1"/>
    <col min="2" max="2" width="14.875" style="11" bestFit="1" customWidth="1"/>
    <col min="3" max="3" width="19.125" style="11" bestFit="1" customWidth="1"/>
    <col min="4" max="4" width="4.50390625" style="11" bestFit="1" customWidth="1"/>
    <col min="5" max="5" width="4.50390625" style="11" customWidth="1"/>
    <col min="6" max="6" width="2.375" style="11" customWidth="1"/>
    <col min="7" max="7" width="14.125" style="11" customWidth="1"/>
    <col min="8" max="8" width="18.875" style="11" customWidth="1"/>
    <col min="9" max="9" width="5.50390625" style="11" customWidth="1"/>
    <col min="10" max="10" width="4.875" style="11" customWidth="1"/>
    <col min="11" max="15" width="9.375" style="11" customWidth="1"/>
    <col min="16" max="16384" width="9.375" style="11" customWidth="1"/>
  </cols>
  <sheetData>
    <row r="1" ht="9.75" customHeight="1"/>
    <row r="2" spans="2:5" ht="15.75">
      <c r="B2" s="16" t="s">
        <v>38</v>
      </c>
      <c r="C2" s="16" t="s">
        <v>39</v>
      </c>
      <c r="D2" s="16" t="s">
        <v>40</v>
      </c>
      <c r="E2" s="16" t="s">
        <v>41</v>
      </c>
    </row>
    <row r="3" spans="2:5" ht="15.75">
      <c r="B3" s="70" t="s">
        <v>214</v>
      </c>
      <c r="C3" s="69"/>
      <c r="D3" s="69"/>
      <c r="E3" s="69"/>
    </row>
    <row r="4" spans="2:5" ht="15.75">
      <c r="B4" s="70" t="s">
        <v>223</v>
      </c>
      <c r="C4" s="69"/>
      <c r="D4" s="69"/>
      <c r="E4" s="69"/>
    </row>
    <row r="5" spans="2:5" ht="15.75">
      <c r="B5" s="70" t="s">
        <v>224</v>
      </c>
      <c r="C5" s="69"/>
      <c r="D5" s="69"/>
      <c r="E5" s="69"/>
    </row>
    <row r="6" spans="2:5" ht="15.75">
      <c r="B6" s="70" t="s">
        <v>225</v>
      </c>
      <c r="C6" s="69"/>
      <c r="D6" s="69"/>
      <c r="E6" s="69"/>
    </row>
    <row r="7" spans="2:5" ht="15.75">
      <c r="B7" s="70" t="s">
        <v>226</v>
      </c>
      <c r="C7" s="69"/>
      <c r="D7" s="69"/>
      <c r="E7" s="69"/>
    </row>
    <row r="8" spans="2:5" ht="15.75">
      <c r="B8" s="70" t="s">
        <v>227</v>
      </c>
      <c r="C8" s="69"/>
      <c r="D8" s="69"/>
      <c r="E8" s="69"/>
    </row>
    <row r="9" spans="2:5" ht="15.75">
      <c r="B9" s="70" t="s">
        <v>228</v>
      </c>
      <c r="C9" s="69"/>
      <c r="D9" s="69"/>
      <c r="E9" s="69"/>
    </row>
    <row r="10" spans="2:5" ht="15.75">
      <c r="B10" s="70" t="s">
        <v>229</v>
      </c>
      <c r="C10" s="69"/>
      <c r="D10" s="69"/>
      <c r="E10" s="69"/>
    </row>
    <row r="11" spans="2:5" ht="15.75">
      <c r="B11" s="12" t="s">
        <v>42</v>
      </c>
      <c r="C11" s="13" t="s">
        <v>43</v>
      </c>
      <c r="D11" s="14">
        <v>315.2887520609589</v>
      </c>
      <c r="E11" s="15">
        <v>-40.250038446501776</v>
      </c>
    </row>
    <row r="12" spans="2:5" ht="15.75">
      <c r="B12" s="12" t="s">
        <v>47</v>
      </c>
      <c r="C12" s="13" t="s">
        <v>48</v>
      </c>
      <c r="D12" s="14">
        <v>335.4329787725039</v>
      </c>
      <c r="E12" s="15">
        <v>-57.16645989781661</v>
      </c>
    </row>
    <row r="13" spans="2:5" ht="15.75">
      <c r="B13" s="12" t="s">
        <v>52</v>
      </c>
      <c r="C13" s="13" t="s">
        <v>53</v>
      </c>
      <c r="D13" s="14">
        <v>173.1316569850744</v>
      </c>
      <c r="E13" s="15">
        <v>-63.177349230698276</v>
      </c>
    </row>
    <row r="14" spans="2:5" ht="15.75">
      <c r="B14" s="12" t="s">
        <v>57</v>
      </c>
      <c r="C14" s="13" t="s">
        <v>58</v>
      </c>
      <c r="D14" s="14">
        <v>255.18818359116204</v>
      </c>
      <c r="E14" s="15">
        <v>-28.99614657047446</v>
      </c>
    </row>
    <row r="15" spans="2:5" ht="15.75">
      <c r="B15" s="12" t="s">
        <v>62</v>
      </c>
      <c r="C15" s="13" t="s">
        <v>63</v>
      </c>
      <c r="D15" s="14">
        <v>290.7974097267033</v>
      </c>
      <c r="E15" s="15">
        <v>16.536465994171984</v>
      </c>
    </row>
    <row r="16" spans="2:5" ht="15.75">
      <c r="B16" s="12" t="s">
        <v>66</v>
      </c>
      <c r="C16" s="13" t="s">
        <v>67</v>
      </c>
      <c r="D16" s="14">
        <v>166.3326873763444</v>
      </c>
      <c r="E16" s="15">
        <v>55.87371311761911</v>
      </c>
    </row>
    <row r="17" spans="2:5" ht="15.75">
      <c r="B17" s="12" t="s">
        <v>71</v>
      </c>
      <c r="C17" s="13" t="s">
        <v>72</v>
      </c>
      <c r="D17" s="14">
        <v>152.97136068377034</v>
      </c>
      <c r="E17" s="15">
        <v>49.23503656619009</v>
      </c>
    </row>
    <row r="18" spans="2:5" ht="15.75">
      <c r="B18" s="12" t="s">
        <v>55</v>
      </c>
      <c r="C18" s="13" t="s">
        <v>76</v>
      </c>
      <c r="D18" s="14">
        <v>27.713623609638148</v>
      </c>
      <c r="E18" s="15">
        <v>-46.889663658678685</v>
      </c>
    </row>
    <row r="19" spans="2:5" ht="15.75">
      <c r="B19" s="12" t="s">
        <v>78</v>
      </c>
      <c r="C19" s="13" t="s">
        <v>79</v>
      </c>
      <c r="D19" s="14">
        <v>275.74937553311645</v>
      </c>
      <c r="E19" s="15">
        <v>-1.19644996310389</v>
      </c>
    </row>
    <row r="20" spans="2:5" ht="15.75">
      <c r="B20" s="12" t="s">
        <v>82</v>
      </c>
      <c r="C20" s="13" t="s">
        <v>83</v>
      </c>
      <c r="D20" s="14">
        <v>217.91305722988918</v>
      </c>
      <c r="E20" s="15">
        <v>-8.726137785022917</v>
      </c>
    </row>
    <row r="21" spans="2:5" ht="15.75">
      <c r="B21" s="12" t="s">
        <v>86</v>
      </c>
      <c r="C21" s="13" t="s">
        <v>87</v>
      </c>
      <c r="D21" s="14">
        <v>126.17349608571743</v>
      </c>
      <c r="E21" s="15">
        <v>26.664232436021166</v>
      </c>
    </row>
    <row r="22" spans="2:5" ht="15.75">
      <c r="B22" s="12" t="s">
        <v>88</v>
      </c>
      <c r="C22" s="13" t="s">
        <v>89</v>
      </c>
      <c r="D22" s="14">
        <v>357.7067430520896</v>
      </c>
      <c r="E22" s="15">
        <v>29.17603881521141</v>
      </c>
    </row>
    <row r="23" spans="2:5" ht="15.75">
      <c r="B23" s="12" t="s">
        <v>74</v>
      </c>
      <c r="C23" s="13" t="s">
        <v>91</v>
      </c>
      <c r="D23" s="14">
        <v>62.125522876468665</v>
      </c>
      <c r="E23" s="15">
        <v>8.911297003729159</v>
      </c>
    </row>
    <row r="24" spans="2:5" ht="15.75">
      <c r="B24" s="12" t="s">
        <v>94</v>
      </c>
      <c r="C24" s="13" t="s">
        <v>95</v>
      </c>
      <c r="D24" s="14">
        <v>353.2464341922857</v>
      </c>
      <c r="E24" s="15">
        <v>-42.22849933078514</v>
      </c>
    </row>
    <row r="25" spans="2:5" ht="15.75">
      <c r="B25" s="12" t="s">
        <v>99</v>
      </c>
      <c r="C25" s="13" t="s">
        <v>100</v>
      </c>
      <c r="D25" s="14">
        <v>112.4210368393741</v>
      </c>
      <c r="E25" s="15">
        <v>-26.460870398986398</v>
      </c>
    </row>
    <row r="26" spans="2:5" ht="15.75">
      <c r="B26" s="12" t="s">
        <v>54</v>
      </c>
      <c r="C26" s="13" t="s">
        <v>102</v>
      </c>
      <c r="D26" s="14">
        <v>145.91538065597996</v>
      </c>
      <c r="E26" s="15">
        <v>19.24262820028594</v>
      </c>
    </row>
    <row r="27" spans="2:5" ht="15.75">
      <c r="B27" s="12" t="s">
        <v>101</v>
      </c>
      <c r="C27" s="13" t="s">
        <v>104</v>
      </c>
      <c r="D27" s="14">
        <v>107.4435226680981</v>
      </c>
      <c r="E27" s="15">
        <v>-69.04845510983381</v>
      </c>
    </row>
    <row r="28" spans="2:5" ht="15.75">
      <c r="B28" s="12" t="s">
        <v>105</v>
      </c>
      <c r="C28" s="13" t="s">
        <v>106</v>
      </c>
      <c r="D28" s="14">
        <v>234.28132832327188</v>
      </c>
      <c r="E28" s="15">
        <v>-59.55859710145047</v>
      </c>
    </row>
    <row r="29" spans="2:5" ht="15.75">
      <c r="B29" s="12" t="s">
        <v>107</v>
      </c>
      <c r="C29" s="13" t="s">
        <v>108</v>
      </c>
      <c r="D29" s="14">
        <v>278.50903644382663</v>
      </c>
      <c r="E29" s="15">
        <v>6.359398362655776</v>
      </c>
    </row>
    <row r="30" spans="2:5" ht="15.75">
      <c r="B30" s="12" t="s">
        <v>80</v>
      </c>
      <c r="C30" s="13" t="s">
        <v>111</v>
      </c>
      <c r="D30" s="14">
        <v>270.9968759484781</v>
      </c>
      <c r="E30" s="15">
        <v>7.405800882249485</v>
      </c>
    </row>
    <row r="31" spans="2:5" ht="15.75">
      <c r="B31" s="12" t="s">
        <v>49</v>
      </c>
      <c r="C31" s="13" t="s">
        <v>113</v>
      </c>
      <c r="D31" s="14">
        <v>263.9184071227627</v>
      </c>
      <c r="E31" s="15">
        <v>-52.7075921107352</v>
      </c>
    </row>
    <row r="32" spans="2:5" ht="15.75">
      <c r="B32" s="12" t="s">
        <v>81</v>
      </c>
      <c r="C32" s="13" t="s">
        <v>114</v>
      </c>
      <c r="D32" s="14">
        <v>280.5401947267277</v>
      </c>
      <c r="E32" s="15">
        <v>46.010352311171964</v>
      </c>
    </row>
    <row r="33" spans="2:5" ht="15.75">
      <c r="B33" s="12" t="s">
        <v>65</v>
      </c>
      <c r="C33" s="13" t="s">
        <v>116</v>
      </c>
      <c r="D33" s="14">
        <v>49.51859408130582</v>
      </c>
      <c r="E33" s="15">
        <v>45.338638535032715</v>
      </c>
    </row>
    <row r="34" spans="2:5" ht="15.75">
      <c r="B34" s="12" t="s">
        <v>112</v>
      </c>
      <c r="C34" s="13" t="s">
        <v>118</v>
      </c>
      <c r="D34" s="14">
        <v>182.5421135696551</v>
      </c>
      <c r="E34" s="15">
        <v>14.485681022975081</v>
      </c>
    </row>
    <row r="35" spans="2:5" ht="15.75">
      <c r="B35" s="12" t="s">
        <v>119</v>
      </c>
      <c r="C35" s="13" t="s">
        <v>120</v>
      </c>
      <c r="D35" s="14">
        <v>348.91416191289267</v>
      </c>
      <c r="E35" s="15">
        <v>-17.906664185060087</v>
      </c>
    </row>
    <row r="36" spans="2:5" ht="15.75">
      <c r="B36" s="12" t="s">
        <v>56</v>
      </c>
      <c r="C36" s="13" t="s">
        <v>121</v>
      </c>
      <c r="D36" s="14">
        <v>193.83701935727225</v>
      </c>
      <c r="E36" s="15">
        <v>61.66383884784802</v>
      </c>
    </row>
    <row r="37" spans="2:5" ht="15.75">
      <c r="B37" s="12" t="s">
        <v>93</v>
      </c>
      <c r="C37" s="13" t="s">
        <v>122</v>
      </c>
      <c r="D37" s="14">
        <v>278.1816964816362</v>
      </c>
      <c r="E37" s="15">
        <v>28.616733561528854</v>
      </c>
    </row>
    <row r="38" spans="2:5" ht="15.75">
      <c r="B38" s="12" t="s">
        <v>70</v>
      </c>
      <c r="C38" s="13" t="s">
        <v>123</v>
      </c>
      <c r="D38" s="14">
        <v>90.76981337451144</v>
      </c>
      <c r="E38" s="15">
        <v>51.48916004934907</v>
      </c>
    </row>
    <row r="39" spans="2:5" ht="15.75">
      <c r="B39" s="12" t="s">
        <v>60</v>
      </c>
      <c r="C39" s="13" t="s">
        <v>125</v>
      </c>
      <c r="D39" s="14">
        <v>33.77182391970081</v>
      </c>
      <c r="E39" s="15">
        <v>9.946566294180037</v>
      </c>
    </row>
    <row r="40" spans="2:5" ht="15.75">
      <c r="B40" s="12" t="s">
        <v>50</v>
      </c>
      <c r="C40" s="13" t="s">
        <v>128</v>
      </c>
      <c r="D40" s="14">
        <v>15.384177074432671</v>
      </c>
      <c r="E40" s="15">
        <v>-29.54417581880365</v>
      </c>
    </row>
    <row r="41" spans="2:5" ht="15.75">
      <c r="B41" s="12" t="s">
        <v>117</v>
      </c>
      <c r="C41" s="13" t="s">
        <v>129</v>
      </c>
      <c r="D41" s="14">
        <v>171.9927100259521</v>
      </c>
      <c r="E41" s="15">
        <v>-57.19258089595693</v>
      </c>
    </row>
    <row r="42" spans="2:5" ht="15.75">
      <c r="B42" s="12" t="s">
        <v>127</v>
      </c>
      <c r="C42" s="13" t="s">
        <v>130</v>
      </c>
      <c r="D42" s="14">
        <v>175.85234544754167</v>
      </c>
      <c r="E42" s="15">
        <v>-17.624153958468444</v>
      </c>
    </row>
    <row r="43" spans="2:5" ht="15.75">
      <c r="B43" s="12" t="s">
        <v>84</v>
      </c>
      <c r="C43" s="13" t="s">
        <v>131</v>
      </c>
      <c r="D43" s="14">
        <v>148.77461390521268</v>
      </c>
      <c r="E43" s="15">
        <v>-60.43926617443442</v>
      </c>
    </row>
    <row r="44" spans="2:5" ht="15.75">
      <c r="B44" s="12" t="s">
        <v>103</v>
      </c>
      <c r="C44" s="13" t="s">
        <v>132</v>
      </c>
      <c r="D44" s="14">
        <v>327.9898214278378</v>
      </c>
      <c r="E44" s="15">
        <v>23.53348954999839</v>
      </c>
    </row>
    <row r="45" spans="2:5" ht="15.75">
      <c r="B45" s="12" t="s">
        <v>85</v>
      </c>
      <c r="C45" s="13" t="s">
        <v>133</v>
      </c>
      <c r="D45" s="14">
        <v>83.71373290987748</v>
      </c>
      <c r="E45" s="15">
        <v>-34.37362453667875</v>
      </c>
    </row>
    <row r="46" spans="2:5" ht="15.75">
      <c r="B46" s="12" t="s">
        <v>51</v>
      </c>
      <c r="C46" s="13" t="s">
        <v>135</v>
      </c>
      <c r="D46" s="14">
        <v>137.34866961565046</v>
      </c>
      <c r="E46" s="15">
        <v>74.090765500663</v>
      </c>
    </row>
    <row r="47" spans="2:5" ht="15.75">
      <c r="B47" s="12" t="s">
        <v>45</v>
      </c>
      <c r="C47" s="13" t="s">
        <v>136</v>
      </c>
      <c r="D47" s="14">
        <v>13.623225407396035</v>
      </c>
      <c r="E47" s="15">
        <v>15.288344598120494</v>
      </c>
    </row>
    <row r="48" spans="2:5" ht="15.75">
      <c r="B48" s="12" t="s">
        <v>124</v>
      </c>
      <c r="C48" s="13" t="s">
        <v>137</v>
      </c>
      <c r="D48" s="14">
        <v>314.2288789172843</v>
      </c>
      <c r="E48" s="15">
        <v>4.146162337608542</v>
      </c>
    </row>
    <row r="49" spans="2:5" ht="15.75">
      <c r="B49" s="12" t="s">
        <v>115</v>
      </c>
      <c r="C49" s="13" t="s">
        <v>138</v>
      </c>
      <c r="D49" s="14">
        <v>148.10620706563947</v>
      </c>
      <c r="E49" s="15">
        <v>-36.43932518090692</v>
      </c>
    </row>
    <row r="50" spans="2:5" ht="15.75">
      <c r="B50" s="12" t="s">
        <v>126</v>
      </c>
      <c r="C50" s="13" t="s">
        <v>139</v>
      </c>
      <c r="D50" s="14">
        <v>221.63962598555943</v>
      </c>
      <c r="E50" s="15">
        <v>-69.77806517609596</v>
      </c>
    </row>
    <row r="51" spans="2:5" ht="15.75">
      <c r="B51" s="12" t="s">
        <v>75</v>
      </c>
      <c r="C51" s="13" t="s">
        <v>140</v>
      </c>
      <c r="D51" s="14">
        <v>308.6401481480508</v>
      </c>
      <c r="E51" s="15">
        <v>49.91468121485234</v>
      </c>
    </row>
    <row r="52" spans="2:5" ht="15.75">
      <c r="B52" s="12" t="s">
        <v>77</v>
      </c>
      <c r="C52" s="13" t="s">
        <v>141</v>
      </c>
      <c r="D52" s="14">
        <v>75.95660286226246</v>
      </c>
      <c r="E52" s="15">
        <v>-26.274714353713566</v>
      </c>
    </row>
    <row r="53" spans="2:5" ht="15.75">
      <c r="B53" s="12" t="s">
        <v>69</v>
      </c>
      <c r="C53" s="13" t="s">
        <v>142</v>
      </c>
      <c r="D53" s="14">
        <v>53.30363356489505</v>
      </c>
      <c r="E53" s="15">
        <v>-56.68567647578127</v>
      </c>
    </row>
    <row r="54" spans="2:5" ht="15.75">
      <c r="B54" s="12" t="s">
        <v>46</v>
      </c>
      <c r="C54" s="13" t="s">
        <v>143</v>
      </c>
      <c r="D54" s="14">
        <v>317.00714249986555</v>
      </c>
      <c r="E54" s="15">
        <v>89.33131736782236</v>
      </c>
    </row>
    <row r="55" spans="2:5" ht="15.75">
      <c r="B55" s="12" t="s">
        <v>98</v>
      </c>
      <c r="C55" s="13" t="s">
        <v>144</v>
      </c>
      <c r="D55" s="14">
        <v>243.4343682971513</v>
      </c>
      <c r="E55" s="15">
        <v>27.985060447332756</v>
      </c>
    </row>
    <row r="56" spans="2:5" ht="15.75">
      <c r="B56" s="12" t="s">
        <v>73</v>
      </c>
      <c r="C56" s="13" t="s">
        <v>145</v>
      </c>
      <c r="D56" s="14">
        <v>244.97161377273932</v>
      </c>
      <c r="E56" s="15">
        <v>5.182289967429476</v>
      </c>
    </row>
    <row r="57" spans="2:5" ht="15.75">
      <c r="B57" s="12" t="s">
        <v>90</v>
      </c>
      <c r="C57" s="13" t="s">
        <v>146</v>
      </c>
      <c r="D57" s="14">
        <v>96.09686300502051</v>
      </c>
      <c r="E57" s="15">
        <v>12.551932113502227</v>
      </c>
    </row>
    <row r="58" spans="2:5" ht="15.75">
      <c r="B58" s="12" t="s">
        <v>109</v>
      </c>
      <c r="C58" s="13" t="s">
        <v>147</v>
      </c>
      <c r="D58" s="14">
        <v>207.70324487187185</v>
      </c>
      <c r="E58" s="15">
        <v>11.890300065278154</v>
      </c>
    </row>
    <row r="59" spans="2:5" ht="15.75">
      <c r="B59" s="12" t="s">
        <v>68</v>
      </c>
      <c r="C59" s="13" t="s">
        <v>148</v>
      </c>
      <c r="D59" s="14">
        <v>281.17860421742176</v>
      </c>
      <c r="E59" s="15">
        <v>-8.188521735169461</v>
      </c>
    </row>
    <row r="60" spans="2:5" ht="15.75">
      <c r="B60" s="12" t="s">
        <v>59</v>
      </c>
      <c r="C60" s="13" t="s">
        <v>149</v>
      </c>
      <c r="D60" s="14">
        <v>139.81579326908022</v>
      </c>
      <c r="E60" s="15">
        <v>-60.89050963067723</v>
      </c>
    </row>
    <row r="61" spans="2:5" ht="15.75">
      <c r="B61" s="12" t="s">
        <v>97</v>
      </c>
      <c r="C61" s="13" t="s">
        <v>150</v>
      </c>
      <c r="D61" s="14">
        <v>102.19414897416328</v>
      </c>
      <c r="E61" s="15">
        <v>-15.739633247061299</v>
      </c>
    </row>
    <row r="62" spans="2:5" ht="15.75">
      <c r="B62" s="12" t="s">
        <v>61</v>
      </c>
      <c r="C62" s="13" t="s">
        <v>151</v>
      </c>
      <c r="D62" s="14">
        <v>349.6529710033087</v>
      </c>
      <c r="E62" s="15">
        <v>56.62401142273265</v>
      </c>
    </row>
    <row r="63" spans="2:5" ht="15.75">
      <c r="B63" s="12" t="s">
        <v>92</v>
      </c>
      <c r="C63" s="13" t="s">
        <v>152</v>
      </c>
      <c r="D63" s="14">
        <v>96.34798956390256</v>
      </c>
      <c r="E63" s="15">
        <v>-37.11016121043655</v>
      </c>
    </row>
    <row r="64" spans="2:5" ht="15.75">
      <c r="B64" s="12" t="s">
        <v>44</v>
      </c>
      <c r="C64" s="13" t="s">
        <v>153</v>
      </c>
      <c r="D64" s="14">
        <v>258.54021930870545</v>
      </c>
      <c r="E64" s="15">
        <v>-16.740740128298</v>
      </c>
    </row>
    <row r="65" spans="2:5" ht="15.75">
      <c r="B65" s="12" t="s">
        <v>96</v>
      </c>
      <c r="C65" s="13" t="s">
        <v>154</v>
      </c>
      <c r="D65" s="14">
        <v>158.50312367174809</v>
      </c>
      <c r="E65" s="15">
        <v>-11.23804917453659</v>
      </c>
    </row>
    <row r="66" spans="2:5" ht="15.75">
      <c r="B66" s="12" t="s">
        <v>134</v>
      </c>
      <c r="C66" s="13" t="s">
        <v>155</v>
      </c>
      <c r="D66" s="14">
        <v>222.8537402311678</v>
      </c>
      <c r="E66" s="15">
        <v>-43.49377751887185</v>
      </c>
    </row>
    <row r="67" spans="2:5" ht="15.75">
      <c r="B67" s="12" t="s">
        <v>64</v>
      </c>
      <c r="C67" s="13" t="s">
        <v>156</v>
      </c>
      <c r="D67" s="14">
        <v>80.64486689557447</v>
      </c>
      <c r="E67" s="15">
        <v>38.800700519918884</v>
      </c>
    </row>
    <row r="68" spans="2:5" ht="15.75">
      <c r="B68" s="12" t="s">
        <v>110</v>
      </c>
      <c r="C68" s="13" t="s">
        <v>157</v>
      </c>
      <c r="D68" s="14">
        <v>137.07362190830355</v>
      </c>
      <c r="E68" s="15">
        <v>-16.10097288795532</v>
      </c>
    </row>
    <row r="69" spans="2:5" ht="15.75">
      <c r="B69" s="76" t="s">
        <v>230</v>
      </c>
      <c r="C69" s="75" t="s">
        <v>231</v>
      </c>
      <c r="D69" s="74"/>
      <c r="E69" s="74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tt4"/>
  <dimension ref="A1:BN95"/>
  <sheetViews>
    <sheetView zoomScale="83" zoomScaleNormal="83" zoomScaleSheetLayoutView="130" zoomScalePageLayoutView="0" workbookViewId="0" topLeftCell="A1">
      <selection activeCell="AE9" sqref="AE9:AL9"/>
    </sheetView>
  </sheetViews>
  <sheetFormatPr defaultColWidth="0" defaultRowHeight="0" customHeight="1" zeroHeight="1"/>
  <cols>
    <col min="1" max="2" width="1.12109375" style="2" customWidth="1"/>
    <col min="3" max="38" width="2.375" style="2" customWidth="1"/>
    <col min="39" max="40" width="1.12109375" style="2" customWidth="1"/>
    <col min="41" max="41" width="13.00390625" style="2" hidden="1" customWidth="1"/>
    <col min="42" max="42" width="13.875" style="60" hidden="1" customWidth="1"/>
    <col min="43" max="44" width="12.875" style="60" hidden="1" customWidth="1"/>
    <col min="45" max="45" width="12.125" style="2" hidden="1" customWidth="1"/>
    <col min="46" max="46" width="2.50390625" style="2" hidden="1" customWidth="1"/>
    <col min="47" max="47" width="12.125" style="2" hidden="1" customWidth="1"/>
    <col min="48" max="48" width="10.00390625" style="2" hidden="1" customWidth="1"/>
    <col min="49" max="49" width="19.50390625" style="2" hidden="1" customWidth="1"/>
    <col min="50" max="50" width="5.625" style="2" hidden="1" customWidth="1"/>
    <col min="51" max="51" width="6.625" style="2" hidden="1" customWidth="1"/>
    <col min="52" max="52" width="7.875" style="2" hidden="1" customWidth="1"/>
    <col min="53" max="53" width="9.00390625" style="2" hidden="1" customWidth="1"/>
    <col min="54" max="62" width="9.50390625" style="2" hidden="1" customWidth="1"/>
    <col min="63" max="63" width="8.125" style="2" hidden="1" customWidth="1"/>
    <col min="64" max="65" width="9.375" style="2" hidden="1" customWidth="1"/>
    <col min="66" max="66" width="7.50390625" style="2" hidden="1" customWidth="1"/>
    <col min="67" max="16384" width="2.375" style="2" hidden="1" customWidth="1"/>
  </cols>
  <sheetData>
    <row r="1" spans="1:40" ht="7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40" ht="36" customHeight="1">
      <c r="A2" s="36"/>
      <c r="B2" s="126"/>
      <c r="C2" s="833" t="s">
        <v>440</v>
      </c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4" t="s">
        <v>422</v>
      </c>
      <c r="R2" s="834"/>
      <c r="S2" s="834"/>
      <c r="T2" s="834"/>
      <c r="U2" s="834"/>
      <c r="V2" s="834"/>
      <c r="W2" s="834"/>
      <c r="X2" s="834"/>
      <c r="Y2" s="834"/>
      <c r="Z2" s="834"/>
      <c r="AA2" s="834"/>
      <c r="AB2" s="834"/>
      <c r="AC2" s="834"/>
      <c r="AD2" s="834"/>
      <c r="AE2" s="834"/>
      <c r="AF2" s="834"/>
      <c r="AG2" s="834"/>
      <c r="AH2" s="834"/>
      <c r="AI2" s="834"/>
      <c r="AJ2" s="834"/>
      <c r="AK2" s="834"/>
      <c r="AL2" s="834"/>
      <c r="AM2" s="126"/>
      <c r="AN2" s="36"/>
    </row>
    <row r="3" spans="1:40" ht="3.75" customHeight="1">
      <c r="A3" s="36"/>
      <c r="B3" s="126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6"/>
      <c r="AN3" s="36"/>
    </row>
    <row r="4" spans="1:54" ht="18" customHeight="1">
      <c r="A4" s="36"/>
      <c r="B4" s="126"/>
      <c r="C4" s="588" t="s">
        <v>15</v>
      </c>
      <c r="D4" s="589"/>
      <c r="E4" s="589"/>
      <c r="F4" s="589"/>
      <c r="G4" s="589"/>
      <c r="H4" s="589"/>
      <c r="I4" s="590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2"/>
      <c r="U4" s="588" t="s">
        <v>4</v>
      </c>
      <c r="V4" s="589"/>
      <c r="W4" s="589"/>
      <c r="X4" s="589"/>
      <c r="Y4" s="589"/>
      <c r="Z4" s="589"/>
      <c r="AA4" s="590"/>
      <c r="AB4" s="591"/>
      <c r="AC4" s="591"/>
      <c r="AD4" s="591"/>
      <c r="AE4" s="591"/>
      <c r="AF4" s="591"/>
      <c r="AG4" s="591"/>
      <c r="AH4" s="591"/>
      <c r="AI4" s="591"/>
      <c r="AJ4" s="591"/>
      <c r="AK4" s="591"/>
      <c r="AL4" s="592"/>
      <c r="AM4" s="138"/>
      <c r="AN4" s="36"/>
      <c r="AO4" s="53"/>
      <c r="AP4" s="422"/>
      <c r="AQ4" s="85"/>
      <c r="AR4" s="85"/>
      <c r="AS4" s="23"/>
      <c r="AT4" s="23"/>
      <c r="AU4" s="23"/>
      <c r="AV4" s="23"/>
      <c r="AW4" s="23"/>
      <c r="AX4" s="23"/>
      <c r="AY4" s="24"/>
      <c r="AZ4" s="21"/>
      <c r="BA4" s="21"/>
      <c r="BB4" s="22"/>
    </row>
    <row r="5" spans="1:54" ht="18" customHeight="1">
      <c r="A5" s="36"/>
      <c r="B5" s="126"/>
      <c r="C5" s="574" t="s">
        <v>17</v>
      </c>
      <c r="D5" s="575"/>
      <c r="E5" s="575"/>
      <c r="F5" s="575"/>
      <c r="G5" s="575"/>
      <c r="H5" s="575"/>
      <c r="I5" s="576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1"/>
      <c r="U5" s="574" t="s">
        <v>7</v>
      </c>
      <c r="V5" s="575"/>
      <c r="W5" s="575"/>
      <c r="X5" s="575"/>
      <c r="Y5" s="575"/>
      <c r="Z5" s="575"/>
      <c r="AA5" s="576"/>
      <c r="AB5" s="593"/>
      <c r="AC5" s="593"/>
      <c r="AD5" s="593"/>
      <c r="AE5" s="593"/>
      <c r="AF5" s="593"/>
      <c r="AG5" s="593"/>
      <c r="AH5" s="593"/>
      <c r="AI5" s="593"/>
      <c r="AJ5" s="593"/>
      <c r="AK5" s="593"/>
      <c r="AL5" s="594"/>
      <c r="AM5" s="139"/>
      <c r="AN5" s="36"/>
      <c r="AO5" s="71"/>
      <c r="AP5" s="422"/>
      <c r="AQ5" s="85"/>
      <c r="AR5" s="86"/>
      <c r="AS5" s="23"/>
      <c r="AT5" s="23"/>
      <c r="AU5" s="23"/>
      <c r="AV5" s="23"/>
      <c r="AW5" s="23"/>
      <c r="AX5" s="23"/>
      <c r="AY5" s="25"/>
      <c r="AZ5" s="26"/>
      <c r="BA5" s="27"/>
      <c r="BB5" s="27"/>
    </row>
    <row r="6" spans="1:54" ht="18" customHeight="1">
      <c r="A6" s="36"/>
      <c r="B6" s="126"/>
      <c r="C6" s="564" t="s">
        <v>19</v>
      </c>
      <c r="D6" s="565"/>
      <c r="E6" s="565"/>
      <c r="F6" s="565"/>
      <c r="G6" s="565"/>
      <c r="H6" s="565"/>
      <c r="I6" s="566"/>
      <c r="J6" s="751"/>
      <c r="K6" s="752"/>
      <c r="L6" s="752"/>
      <c r="M6" s="752"/>
      <c r="N6" s="752"/>
      <c r="O6" s="762"/>
      <c r="P6" s="762"/>
      <c r="Q6" s="762"/>
      <c r="R6" s="762"/>
      <c r="S6" s="762"/>
      <c r="T6" s="763"/>
      <c r="U6" s="564" t="s">
        <v>11</v>
      </c>
      <c r="V6" s="565"/>
      <c r="W6" s="565"/>
      <c r="X6" s="565"/>
      <c r="Y6" s="565"/>
      <c r="Z6" s="565"/>
      <c r="AA6" s="566"/>
      <c r="AB6" s="567"/>
      <c r="AC6" s="567"/>
      <c r="AD6" s="567"/>
      <c r="AE6" s="567"/>
      <c r="AF6" s="567"/>
      <c r="AG6" s="567"/>
      <c r="AH6" s="567"/>
      <c r="AI6" s="567"/>
      <c r="AJ6" s="567"/>
      <c r="AK6" s="567"/>
      <c r="AL6" s="568"/>
      <c r="AM6" s="140"/>
      <c r="AN6" s="36"/>
      <c r="AO6" s="72"/>
      <c r="AP6" s="422"/>
      <c r="AQ6" s="87"/>
      <c r="AR6" s="86"/>
      <c r="AS6" s="21"/>
      <c r="AT6" s="29"/>
      <c r="AU6" s="21"/>
      <c r="AV6" s="21"/>
      <c r="AW6" s="21"/>
      <c r="AX6" s="26"/>
      <c r="AY6" s="30"/>
      <c r="AZ6" s="26"/>
      <c r="BA6" s="31"/>
      <c r="BB6" s="31"/>
    </row>
    <row r="7" spans="1:40" ht="3" customHeight="1">
      <c r="A7" s="36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6"/>
      <c r="AN7" s="36"/>
    </row>
    <row r="8" spans="1:40" ht="3" customHeight="1">
      <c r="A8" s="36"/>
      <c r="B8" s="126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6"/>
      <c r="AN8" s="36"/>
    </row>
    <row r="9" spans="1:44" ht="18" customHeight="1">
      <c r="A9" s="36"/>
      <c r="B9" s="126"/>
      <c r="C9" s="753" t="s">
        <v>178</v>
      </c>
      <c r="D9" s="753"/>
      <c r="E9" s="753"/>
      <c r="F9" s="753"/>
      <c r="G9" s="753"/>
      <c r="H9" s="753"/>
      <c r="I9" s="753"/>
      <c r="J9" s="753"/>
      <c r="K9" s="753"/>
      <c r="L9" s="126"/>
      <c r="M9" s="757"/>
      <c r="N9" s="758"/>
      <c r="O9" s="758"/>
      <c r="P9" s="758"/>
      <c r="Q9" s="758"/>
      <c r="R9" s="758"/>
      <c r="S9" s="758"/>
      <c r="T9" s="759"/>
      <c r="U9" s="126"/>
      <c r="V9" s="757"/>
      <c r="W9" s="758"/>
      <c r="X9" s="758"/>
      <c r="Y9" s="758"/>
      <c r="Z9" s="758"/>
      <c r="AA9" s="758"/>
      <c r="AB9" s="758"/>
      <c r="AC9" s="759"/>
      <c r="AD9" s="126"/>
      <c r="AE9" s="757"/>
      <c r="AF9" s="758"/>
      <c r="AG9" s="758"/>
      <c r="AH9" s="758"/>
      <c r="AI9" s="758"/>
      <c r="AJ9" s="758"/>
      <c r="AK9" s="758"/>
      <c r="AL9" s="759"/>
      <c r="AM9" s="126"/>
      <c r="AN9" s="36"/>
      <c r="AP9" s="60" t="str">
        <f>IF(OR(M9="Moon UL",M9="Moon LL"),"Moon",IF(OR(M9="Sun LL",M9="Sun UL"),"Sun",IF(OR(M9="Venus",M9="Mars"),"Planet1",IF(OR(M9="Saturn",M9="Jupiter"),"Planet2","Stars"))))</f>
        <v>Stars</v>
      </c>
      <c r="AQ9" s="60" t="str">
        <f>IF(OR(V9="Moon UL",V9="Moon LL"),"Moon",IF(OR(V9="Sun LL",V9="Sun UL"),"Sun",IF(OR(V9="Venus",V9="Mars"),"Planet1",IF(OR(V9="Saturn",V9="Jupiter"),"Planet2","Stars"))))</f>
        <v>Stars</v>
      </c>
      <c r="AR9" s="60" t="str">
        <f>IF(OR(AE9="Moon UL",AE9="Moon LL"),"Moon",IF(OR(AE9="Sun LL",AE9="Sun UL"),"Sun",IF(OR(AE9="Venus",AE9="Mars"),"Planet1",IF(OR(AE9="Saturn",AE9="Jupiter"),"Planet2","Stars"))))</f>
        <v>Stars</v>
      </c>
    </row>
    <row r="10" spans="1:44" ht="18" customHeight="1">
      <c r="A10" s="36"/>
      <c r="B10" s="126"/>
      <c r="C10" s="753" t="s">
        <v>179</v>
      </c>
      <c r="D10" s="753"/>
      <c r="E10" s="753"/>
      <c r="F10" s="753"/>
      <c r="G10" s="753"/>
      <c r="H10" s="753"/>
      <c r="I10" s="753"/>
      <c r="J10" s="753"/>
      <c r="K10" s="753"/>
      <c r="L10" s="126"/>
      <c r="M10" s="754"/>
      <c r="N10" s="755"/>
      <c r="O10" s="755"/>
      <c r="P10" s="755"/>
      <c r="Q10" s="755"/>
      <c r="R10" s="755"/>
      <c r="S10" s="755"/>
      <c r="T10" s="756"/>
      <c r="U10" s="126"/>
      <c r="V10" s="754"/>
      <c r="W10" s="755"/>
      <c r="X10" s="755"/>
      <c r="Y10" s="755"/>
      <c r="Z10" s="755"/>
      <c r="AA10" s="755"/>
      <c r="AB10" s="755"/>
      <c r="AC10" s="756"/>
      <c r="AD10" s="126"/>
      <c r="AE10" s="754"/>
      <c r="AF10" s="755"/>
      <c r="AG10" s="755"/>
      <c r="AH10" s="755"/>
      <c r="AI10" s="755"/>
      <c r="AJ10" s="755"/>
      <c r="AK10" s="755"/>
      <c r="AL10" s="756"/>
      <c r="AM10" s="126"/>
      <c r="AN10" s="36"/>
      <c r="AP10" s="60">
        <f>IF(ISERROR(FIND("LL",M9)),"",FIND("LL",M9))</f>
      </c>
      <c r="AQ10" s="60">
        <f>IF(ISERROR(FIND("LL",V9)),"",FIND("LL",V9))</f>
      </c>
      <c r="AR10" s="60">
        <f>IF(ISERROR(FIND("LL",AE9)),"",FIND("LL",AE9))</f>
      </c>
    </row>
    <row r="11" spans="1:44" ht="18" customHeight="1">
      <c r="A11" s="36"/>
      <c r="B11" s="126"/>
      <c r="C11" s="753" t="s">
        <v>177</v>
      </c>
      <c r="D11" s="753"/>
      <c r="E11" s="753"/>
      <c r="F11" s="753"/>
      <c r="G11" s="753"/>
      <c r="H11" s="753"/>
      <c r="I11" s="753"/>
      <c r="J11" s="753"/>
      <c r="K11" s="753"/>
      <c r="L11" s="126"/>
      <c r="M11" s="795"/>
      <c r="N11" s="796"/>
      <c r="O11" s="796"/>
      <c r="P11" s="796"/>
      <c r="Q11" s="796"/>
      <c r="R11" s="796"/>
      <c r="S11" s="796"/>
      <c r="T11" s="797"/>
      <c r="U11" s="126"/>
      <c r="V11" s="764">
        <f>IF($V$9="","",$M$11)</f>
      </c>
      <c r="W11" s="765"/>
      <c r="X11" s="765"/>
      <c r="Y11" s="765"/>
      <c r="Z11" s="765"/>
      <c r="AA11" s="765"/>
      <c r="AB11" s="765"/>
      <c r="AC11" s="766"/>
      <c r="AD11" s="126"/>
      <c r="AE11" s="764">
        <f>IF($AE$9="","",$M$11)</f>
      </c>
      <c r="AF11" s="765"/>
      <c r="AG11" s="765"/>
      <c r="AH11" s="765"/>
      <c r="AI11" s="765"/>
      <c r="AJ11" s="765"/>
      <c r="AK11" s="765"/>
      <c r="AL11" s="766"/>
      <c r="AM11" s="126"/>
      <c r="AN11" s="36"/>
      <c r="AP11" s="60">
        <f>IF(ISERROR(FIND("UL",M9)),"",FIND("UL",M9))</f>
      </c>
      <c r="AQ11" s="60">
        <f>IF(ISERROR(FIND("UL",V9)),"",FIND("UL",V9))</f>
      </c>
      <c r="AR11" s="60">
        <f>IF(ISERROR(FIND("UL",AE9)),"",FIND("UL",AE9))</f>
      </c>
    </row>
    <row r="12" spans="1:40" ht="18" customHeight="1">
      <c r="A12" s="36"/>
      <c r="B12" s="126"/>
      <c r="C12" s="736" t="s">
        <v>434</v>
      </c>
      <c r="D12" s="736"/>
      <c r="E12" s="736"/>
      <c r="F12" s="736"/>
      <c r="G12" s="736"/>
      <c r="H12" s="736"/>
      <c r="I12" s="736"/>
      <c r="J12" s="736"/>
      <c r="K12" s="736"/>
      <c r="L12" s="128"/>
      <c r="M12" s="789"/>
      <c r="N12" s="790"/>
      <c r="O12" s="790"/>
      <c r="P12" s="790"/>
      <c r="Q12" s="790"/>
      <c r="R12" s="790"/>
      <c r="S12" s="790"/>
      <c r="T12" s="791"/>
      <c r="U12" s="126"/>
      <c r="V12" s="792">
        <f>IF($V$9="","",$M$12)</f>
      </c>
      <c r="W12" s="793"/>
      <c r="X12" s="793"/>
      <c r="Y12" s="793"/>
      <c r="Z12" s="793"/>
      <c r="AA12" s="793"/>
      <c r="AB12" s="793"/>
      <c r="AC12" s="794"/>
      <c r="AD12" s="126"/>
      <c r="AE12" s="792">
        <f>IF($AE$9="","",$M$12)</f>
      </c>
      <c r="AF12" s="793"/>
      <c r="AG12" s="793"/>
      <c r="AH12" s="793"/>
      <c r="AI12" s="793"/>
      <c r="AJ12" s="793"/>
      <c r="AK12" s="793"/>
      <c r="AL12" s="794"/>
      <c r="AM12" s="126"/>
      <c r="AN12" s="36"/>
    </row>
    <row r="13" spans="1:40" ht="18" customHeight="1">
      <c r="A13" s="36"/>
      <c r="B13" s="126"/>
      <c r="C13" s="753" t="s">
        <v>185</v>
      </c>
      <c r="D13" s="753"/>
      <c r="E13" s="753"/>
      <c r="F13" s="753"/>
      <c r="G13" s="753"/>
      <c r="H13" s="753"/>
      <c r="I13" s="753"/>
      <c r="J13" s="753"/>
      <c r="K13" s="753"/>
      <c r="L13" s="128"/>
      <c r="M13" s="767">
        <f>IF($M$9="","",IF($M$11="",$M$10,$M$10-($M$11/24)+ROUND(($M$12/86400),0)))</f>
      </c>
      <c r="N13" s="768"/>
      <c r="O13" s="768"/>
      <c r="P13" s="768"/>
      <c r="Q13" s="768"/>
      <c r="R13" s="768"/>
      <c r="S13" s="768"/>
      <c r="T13" s="769"/>
      <c r="U13" s="126"/>
      <c r="V13" s="767">
        <f>IF($V$9="","",IF($V$11="",$V$10,$V$10-($V$11/24)+($V$12/86400)))</f>
      </c>
      <c r="W13" s="768"/>
      <c r="X13" s="768"/>
      <c r="Y13" s="768"/>
      <c r="Z13" s="768"/>
      <c r="AA13" s="768"/>
      <c r="AB13" s="768"/>
      <c r="AC13" s="769"/>
      <c r="AD13" s="126"/>
      <c r="AE13" s="767">
        <f>IF($AE$9="","",IF($AE$11="",$AE$10,$AE$10-($AE$11/24)+($AE$12/86400)))</f>
      </c>
      <c r="AF13" s="768"/>
      <c r="AG13" s="768"/>
      <c r="AH13" s="768"/>
      <c r="AI13" s="768"/>
      <c r="AJ13" s="768"/>
      <c r="AK13" s="768"/>
      <c r="AL13" s="769"/>
      <c r="AM13" s="126"/>
      <c r="AN13" s="36"/>
    </row>
    <row r="14" spans="1:40" ht="18" customHeight="1">
      <c r="A14" s="36"/>
      <c r="B14" s="126"/>
      <c r="C14" s="736" t="s">
        <v>184</v>
      </c>
      <c r="D14" s="736"/>
      <c r="E14" s="736"/>
      <c r="F14" s="736"/>
      <c r="G14" s="736"/>
      <c r="H14" s="736"/>
      <c r="I14" s="736"/>
      <c r="J14" s="736"/>
      <c r="K14" s="736"/>
      <c r="L14" s="128"/>
      <c r="M14" s="778"/>
      <c r="N14" s="779"/>
      <c r="O14" s="780"/>
      <c r="P14" s="781"/>
      <c r="Q14" s="781"/>
      <c r="R14" s="781"/>
      <c r="S14" s="781"/>
      <c r="T14" s="782"/>
      <c r="U14" s="126"/>
      <c r="V14" s="778"/>
      <c r="W14" s="779"/>
      <c r="X14" s="780"/>
      <c r="Y14" s="781"/>
      <c r="Z14" s="781"/>
      <c r="AA14" s="781"/>
      <c r="AB14" s="781"/>
      <c r="AC14" s="782"/>
      <c r="AD14" s="126"/>
      <c r="AE14" s="778"/>
      <c r="AF14" s="779"/>
      <c r="AG14" s="780"/>
      <c r="AH14" s="781"/>
      <c r="AI14" s="781"/>
      <c r="AJ14" s="781"/>
      <c r="AK14" s="781"/>
      <c r="AL14" s="782"/>
      <c r="AM14" s="126"/>
      <c r="AN14" s="36"/>
    </row>
    <row r="15" spans="1:40" ht="3" customHeight="1">
      <c r="A15" s="36"/>
      <c r="B15" s="126"/>
      <c r="C15" s="145"/>
      <c r="D15" s="145"/>
      <c r="E15" s="145"/>
      <c r="F15" s="145"/>
      <c r="G15" s="145"/>
      <c r="H15" s="145"/>
      <c r="I15" s="145"/>
      <c r="J15" s="145"/>
      <c r="K15" s="145"/>
      <c r="L15" s="126"/>
      <c r="M15" s="146"/>
      <c r="N15" s="146"/>
      <c r="O15" s="146"/>
      <c r="P15" s="146"/>
      <c r="Q15" s="146"/>
      <c r="R15" s="146"/>
      <c r="S15" s="146"/>
      <c r="T15" s="146"/>
      <c r="U15" s="126"/>
      <c r="V15" s="146"/>
      <c r="W15" s="146"/>
      <c r="X15" s="146"/>
      <c r="Y15" s="146"/>
      <c r="Z15" s="146"/>
      <c r="AA15" s="146"/>
      <c r="AB15" s="146"/>
      <c r="AC15" s="146"/>
      <c r="AD15" s="126"/>
      <c r="AE15" s="146"/>
      <c r="AF15" s="146"/>
      <c r="AG15" s="146"/>
      <c r="AH15" s="146"/>
      <c r="AI15" s="146"/>
      <c r="AJ15" s="146"/>
      <c r="AK15" s="146"/>
      <c r="AL15" s="146"/>
      <c r="AM15" s="126"/>
      <c r="AN15" s="36"/>
    </row>
    <row r="16" spans="1:46" ht="18" customHeight="1">
      <c r="A16" s="36"/>
      <c r="B16" s="126"/>
      <c r="C16" s="753" t="s">
        <v>212</v>
      </c>
      <c r="D16" s="753"/>
      <c r="E16" s="753"/>
      <c r="F16" s="753"/>
      <c r="G16" s="753"/>
      <c r="H16" s="753"/>
      <c r="I16" s="753"/>
      <c r="J16" s="753"/>
      <c r="K16" s="753"/>
      <c r="L16" s="126"/>
      <c r="M16" s="760"/>
      <c r="N16" s="761"/>
      <c r="O16" s="761"/>
      <c r="P16" s="761"/>
      <c r="Q16" s="761"/>
      <c r="R16" s="761"/>
      <c r="S16" s="624">
        <f>IF(AND($M$9="",$M$10=""),"",IF(AP16&lt;0,"S","N"))</f>
      </c>
      <c r="T16" s="746"/>
      <c r="U16" s="126"/>
      <c r="V16" s="760"/>
      <c r="W16" s="761"/>
      <c r="X16" s="761"/>
      <c r="Y16" s="761"/>
      <c r="Z16" s="761"/>
      <c r="AA16" s="761"/>
      <c r="AB16" s="624">
        <f>IF(AND($V$9="",$V$10=""),"",IF(AQ16&lt;0,"S","N"))</f>
      </c>
      <c r="AC16" s="746"/>
      <c r="AD16" s="126"/>
      <c r="AE16" s="760"/>
      <c r="AF16" s="761"/>
      <c r="AG16" s="761"/>
      <c r="AH16" s="761"/>
      <c r="AI16" s="761"/>
      <c r="AJ16" s="761"/>
      <c r="AK16" s="624">
        <f>IF(AND($AE$9="",$AE$10=""),"",IF(AR16&lt;0,"S","N"))</f>
      </c>
      <c r="AL16" s="746"/>
      <c r="AM16" s="126"/>
      <c r="AN16" s="36"/>
      <c r="AO16" s="2" t="s">
        <v>232</v>
      </c>
      <c r="AP16" s="81">
        <f>TRUNC(M16/100)+(M16/100-TRUNC(M16/100))/60*100</f>
        <v>0</v>
      </c>
      <c r="AQ16" s="81">
        <f>TRUNC(V16/100)+(V16/100-TRUNC(V16/100))/60*100</f>
        <v>0</v>
      </c>
      <c r="AR16" s="81">
        <f>TRUNC(AE16/100)+(AE16/100-TRUNC(AE16/100))/60*100</f>
        <v>0</v>
      </c>
      <c r="AS16" s="64"/>
      <c r="AT16" s="64"/>
    </row>
    <row r="17" spans="1:47" ht="18" customHeight="1">
      <c r="A17" s="36"/>
      <c r="B17" s="126"/>
      <c r="C17" s="753" t="s">
        <v>213</v>
      </c>
      <c r="D17" s="753"/>
      <c r="E17" s="753"/>
      <c r="F17" s="753"/>
      <c r="G17" s="753"/>
      <c r="H17" s="753"/>
      <c r="I17" s="753"/>
      <c r="J17" s="753"/>
      <c r="K17" s="753"/>
      <c r="L17" s="126"/>
      <c r="M17" s="814"/>
      <c r="N17" s="815"/>
      <c r="O17" s="815"/>
      <c r="P17" s="815"/>
      <c r="Q17" s="815"/>
      <c r="R17" s="815"/>
      <c r="S17" s="624">
        <f>IF(AND($M$9="",$M$10=""),"",IF(AP17&lt;0,"W","E"))</f>
      </c>
      <c r="T17" s="746"/>
      <c r="U17" s="126"/>
      <c r="V17" s="814"/>
      <c r="W17" s="815"/>
      <c r="X17" s="815"/>
      <c r="Y17" s="815"/>
      <c r="Z17" s="815"/>
      <c r="AA17" s="815"/>
      <c r="AB17" s="787">
        <f>IF(AND($V$9="",$V$10=""),"",IF(AQ17&lt;0,"W","E"))</f>
      </c>
      <c r="AC17" s="788"/>
      <c r="AD17" s="126"/>
      <c r="AE17" s="814"/>
      <c r="AF17" s="815"/>
      <c r="AG17" s="815"/>
      <c r="AH17" s="815"/>
      <c r="AI17" s="815"/>
      <c r="AJ17" s="815"/>
      <c r="AK17" s="787">
        <f>IF(AND($AE$9="",$AE$10=""),"",IF(AR17&lt;0,"W","E"))</f>
      </c>
      <c r="AL17" s="788"/>
      <c r="AM17" s="126"/>
      <c r="AN17" s="36"/>
      <c r="AO17" s="2" t="s">
        <v>233</v>
      </c>
      <c r="AP17" s="81">
        <f>TRUNC(M17/100)+(M17/100-TRUNC(M17/100))/60*100</f>
        <v>0</v>
      </c>
      <c r="AQ17" s="81">
        <f>TRUNC(V17/100)+(V17/100-TRUNC(V17/100))/60*100</f>
        <v>0</v>
      </c>
      <c r="AR17" s="81">
        <f>TRUNC(AE17/100)+(AE17/100-TRUNC(AE17/100))/60*100</f>
        <v>0</v>
      </c>
      <c r="AS17" s="66"/>
      <c r="AT17" s="66"/>
      <c r="AU17" s="66"/>
    </row>
    <row r="18" spans="1:40" ht="3" customHeight="1">
      <c r="A18" s="36"/>
      <c r="B18" s="126"/>
      <c r="C18" s="145"/>
      <c r="D18" s="145"/>
      <c r="E18" s="145"/>
      <c r="F18" s="145"/>
      <c r="G18" s="145"/>
      <c r="H18" s="145"/>
      <c r="I18" s="145"/>
      <c r="J18" s="145"/>
      <c r="K18" s="145"/>
      <c r="L18" s="126"/>
      <c r="M18" s="146"/>
      <c r="N18" s="146"/>
      <c r="O18" s="146"/>
      <c r="P18" s="146"/>
      <c r="Q18" s="146"/>
      <c r="R18" s="146"/>
      <c r="S18" s="146"/>
      <c r="T18" s="146"/>
      <c r="U18" s="126"/>
      <c r="V18" s="146"/>
      <c r="W18" s="146"/>
      <c r="X18" s="146"/>
      <c r="Y18" s="146"/>
      <c r="Z18" s="146"/>
      <c r="AA18" s="146"/>
      <c r="AB18" s="146"/>
      <c r="AC18" s="146"/>
      <c r="AD18" s="126"/>
      <c r="AE18" s="146"/>
      <c r="AF18" s="146"/>
      <c r="AG18" s="146"/>
      <c r="AH18" s="146"/>
      <c r="AI18" s="146"/>
      <c r="AJ18" s="146"/>
      <c r="AK18" s="146"/>
      <c r="AL18" s="146"/>
      <c r="AM18" s="126"/>
      <c r="AN18" s="36"/>
    </row>
    <row r="19" spans="1:51" ht="18" customHeight="1">
      <c r="A19" s="36"/>
      <c r="B19" s="126"/>
      <c r="C19" s="728" t="s">
        <v>215</v>
      </c>
      <c r="D19" s="729"/>
      <c r="E19" s="729"/>
      <c r="F19" s="729"/>
      <c r="G19" s="729"/>
      <c r="H19" s="729"/>
      <c r="I19" s="729"/>
      <c r="J19" s="729"/>
      <c r="K19" s="730"/>
      <c r="L19" s="129"/>
      <c r="M19" s="783"/>
      <c r="N19" s="784"/>
      <c r="O19" s="784"/>
      <c r="P19" s="784"/>
      <c r="Q19" s="784"/>
      <c r="R19" s="784"/>
      <c r="S19" s="79"/>
      <c r="T19" s="80"/>
      <c r="U19" s="133"/>
      <c r="V19" s="783"/>
      <c r="W19" s="784"/>
      <c r="X19" s="784"/>
      <c r="Y19" s="784"/>
      <c r="Z19" s="784"/>
      <c r="AA19" s="784"/>
      <c r="AB19" s="79"/>
      <c r="AC19" s="80"/>
      <c r="AD19" s="126"/>
      <c r="AE19" s="783"/>
      <c r="AF19" s="784"/>
      <c r="AG19" s="784"/>
      <c r="AH19" s="784"/>
      <c r="AI19" s="784"/>
      <c r="AJ19" s="784"/>
      <c r="AK19" s="79"/>
      <c r="AL19" s="80"/>
      <c r="AM19" s="126"/>
      <c r="AN19" s="36"/>
      <c r="AO19" s="2" t="s">
        <v>234</v>
      </c>
      <c r="AP19" s="81">
        <f>TRUNC(M19/100)+(M19/100-TRUNC(M19/100))/60*100</f>
        <v>0</v>
      </c>
      <c r="AQ19" s="81">
        <f>TRUNC(V19/100)+(V19/100-TRUNC(V19/100))/60*100</f>
        <v>0</v>
      </c>
      <c r="AR19" s="81">
        <f>TRUNC(AE19/100)+(AE19/100-TRUNC(AE19/100))/60*100</f>
        <v>0</v>
      </c>
      <c r="AS19" s="67"/>
      <c r="AT19" s="67"/>
      <c r="AU19" s="67"/>
      <c r="AV19" s="67"/>
      <c r="AW19" s="67"/>
      <c r="AX19" s="67"/>
      <c r="AY19" s="67"/>
    </row>
    <row r="20" spans="1:51" ht="18" customHeight="1">
      <c r="A20" s="36"/>
      <c r="B20" s="126"/>
      <c r="C20" s="736" t="s">
        <v>424</v>
      </c>
      <c r="D20" s="736"/>
      <c r="E20" s="736"/>
      <c r="F20" s="736"/>
      <c r="G20" s="736"/>
      <c r="H20" s="736"/>
      <c r="I20" s="736"/>
      <c r="J20" s="736"/>
      <c r="K20" s="736"/>
      <c r="L20" s="128"/>
      <c r="M20" s="770">
        <f>IF(M$19="","",$AB$6)</f>
      </c>
      <c r="N20" s="771"/>
      <c r="O20" s="771"/>
      <c r="P20" s="771"/>
      <c r="Q20" s="771"/>
      <c r="R20" s="771"/>
      <c r="S20" s="77"/>
      <c r="T20" s="78"/>
      <c r="U20" s="126"/>
      <c r="V20" s="770">
        <f>IF(V$19="","",$AB$6)</f>
      </c>
      <c r="W20" s="771"/>
      <c r="X20" s="771"/>
      <c r="Y20" s="771"/>
      <c r="Z20" s="771"/>
      <c r="AA20" s="771"/>
      <c r="AB20" s="77"/>
      <c r="AC20" s="78"/>
      <c r="AD20" s="126"/>
      <c r="AE20" s="770">
        <f>IF(AE$19="","",$AB$6)</f>
      </c>
      <c r="AF20" s="771"/>
      <c r="AG20" s="771"/>
      <c r="AH20" s="771"/>
      <c r="AI20" s="771"/>
      <c r="AJ20" s="771"/>
      <c r="AK20" s="77"/>
      <c r="AL20" s="78"/>
      <c r="AM20" s="126"/>
      <c r="AN20" s="36"/>
      <c r="AO20" s="2" t="s">
        <v>235</v>
      </c>
      <c r="AP20" s="523">
        <f>$AB$6/60</f>
        <v>0</v>
      </c>
      <c r="AQ20" s="523">
        <f>$AB$6/60</f>
        <v>0</v>
      </c>
      <c r="AR20" s="523">
        <f>$AB$6/60</f>
        <v>0</v>
      </c>
      <c r="AS20" s="68"/>
      <c r="AT20" s="68"/>
      <c r="AU20" s="68"/>
      <c r="AV20" s="68"/>
      <c r="AW20" s="68"/>
      <c r="AX20" s="68"/>
      <c r="AY20" s="68"/>
    </row>
    <row r="21" spans="1:51" ht="18" customHeight="1">
      <c r="A21" s="36"/>
      <c r="B21" s="126"/>
      <c r="C21" s="777" t="s">
        <v>425</v>
      </c>
      <c r="D21" s="773"/>
      <c r="E21" s="773"/>
      <c r="F21" s="773"/>
      <c r="G21" s="773"/>
      <c r="H21" s="773"/>
      <c r="I21" s="773"/>
      <c r="J21" s="773"/>
      <c r="K21" s="774"/>
      <c r="L21" s="128"/>
      <c r="M21" s="770">
        <f>IF($M$19="","",$AP$21*60)</f>
      </c>
      <c r="N21" s="771"/>
      <c r="O21" s="771"/>
      <c r="P21" s="771"/>
      <c r="Q21" s="771"/>
      <c r="R21" s="771"/>
      <c r="S21" s="77"/>
      <c r="T21" s="78"/>
      <c r="U21" s="126"/>
      <c r="V21" s="770">
        <f>IF($V$19="","",$AQ$21*60)</f>
      </c>
      <c r="W21" s="771"/>
      <c r="X21" s="771"/>
      <c r="Y21" s="771"/>
      <c r="Z21" s="771"/>
      <c r="AA21" s="771"/>
      <c r="AB21" s="77"/>
      <c r="AC21" s="78"/>
      <c r="AD21" s="126"/>
      <c r="AE21" s="770">
        <f>IF($AE$19="","",$AR$21*60)</f>
      </c>
      <c r="AF21" s="771"/>
      <c r="AG21" s="771"/>
      <c r="AH21" s="771"/>
      <c r="AI21" s="771"/>
      <c r="AJ21" s="771"/>
      <c r="AK21" s="77"/>
      <c r="AL21" s="78"/>
      <c r="AM21" s="126"/>
      <c r="AN21" s="36"/>
      <c r="AO21" s="2" t="s">
        <v>236</v>
      </c>
      <c r="AP21" s="523">
        <f>-1.758*SQRT($AB$5)/60</f>
        <v>0</v>
      </c>
      <c r="AQ21" s="523">
        <f>-1.758*SQRT($AB$5)/60</f>
        <v>0</v>
      </c>
      <c r="AR21" s="523">
        <f>-1.758*SQRT($AB$5)/60</f>
        <v>0</v>
      </c>
      <c r="AS21" s="68"/>
      <c r="AT21" s="68"/>
      <c r="AU21" s="68"/>
      <c r="AV21" s="68"/>
      <c r="AW21" s="68"/>
      <c r="AX21" s="68"/>
      <c r="AY21" s="68"/>
    </row>
    <row r="22" spans="1:51" ht="18" customHeight="1">
      <c r="A22" s="36"/>
      <c r="B22" s="126"/>
      <c r="C22" s="772" t="s">
        <v>426</v>
      </c>
      <c r="D22" s="773"/>
      <c r="E22" s="773"/>
      <c r="F22" s="773"/>
      <c r="G22" s="773"/>
      <c r="H22" s="773"/>
      <c r="I22" s="773"/>
      <c r="J22" s="773"/>
      <c r="K22" s="774"/>
      <c r="L22" s="128"/>
      <c r="M22" s="740">
        <f>IF(M19="","",TRUNC(AP22)*100+(AP22-TRUNC(AP22))*60)</f>
      </c>
      <c r="N22" s="741"/>
      <c r="O22" s="741"/>
      <c r="P22" s="741"/>
      <c r="Q22" s="741"/>
      <c r="R22" s="741"/>
      <c r="S22" s="77"/>
      <c r="T22" s="78"/>
      <c r="U22" s="126"/>
      <c r="V22" s="740">
        <f>IF(V19="","",TRUNC(AQ22)*100+(AQ22-TRUNC(AQ22))*60)</f>
      </c>
      <c r="W22" s="741"/>
      <c r="X22" s="741"/>
      <c r="Y22" s="741"/>
      <c r="Z22" s="741"/>
      <c r="AA22" s="741"/>
      <c r="AB22" s="77"/>
      <c r="AC22" s="78"/>
      <c r="AD22" s="126"/>
      <c r="AE22" s="740">
        <f>IF(AE19="","",TRUNC(AR22)*100+(AR22-TRUNC(AR22))*60)</f>
      </c>
      <c r="AF22" s="741"/>
      <c r="AG22" s="741"/>
      <c r="AH22" s="741"/>
      <c r="AI22" s="741"/>
      <c r="AJ22" s="741"/>
      <c r="AK22" s="77"/>
      <c r="AL22" s="78"/>
      <c r="AM22" s="126"/>
      <c r="AN22" s="36"/>
      <c r="AO22" s="2" t="s">
        <v>237</v>
      </c>
      <c r="AP22" s="523">
        <f>AP19+AP20+AP21</f>
        <v>0</v>
      </c>
      <c r="AQ22" s="523">
        <f>AQ19+AQ20+AQ21</f>
        <v>0</v>
      </c>
      <c r="AR22" s="523">
        <f>AR19+AR20+AR21</f>
        <v>0</v>
      </c>
      <c r="AS22" s="68"/>
      <c r="AT22" s="68"/>
      <c r="AU22" s="68"/>
      <c r="AV22" s="68"/>
      <c r="AW22" s="68"/>
      <c r="AX22" s="68"/>
      <c r="AY22" s="68"/>
    </row>
    <row r="23" spans="1:51" ht="18" customHeight="1">
      <c r="A23" s="36"/>
      <c r="B23" s="126"/>
      <c r="C23" s="772" t="s">
        <v>427</v>
      </c>
      <c r="D23" s="773"/>
      <c r="E23" s="773"/>
      <c r="F23" s="773"/>
      <c r="G23" s="773"/>
      <c r="H23" s="773"/>
      <c r="I23" s="773"/>
      <c r="J23" s="773"/>
      <c r="K23" s="774"/>
      <c r="L23" s="128"/>
      <c r="M23" s="785">
        <f>IF(M19="","",AP23)</f>
      </c>
      <c r="N23" s="786"/>
      <c r="O23" s="786"/>
      <c r="P23" s="786"/>
      <c r="Q23" s="786"/>
      <c r="R23" s="786"/>
      <c r="S23" s="77"/>
      <c r="T23" s="78"/>
      <c r="U23" s="126"/>
      <c r="V23" s="785">
        <f>IF(V19="","",AQ23)</f>
      </c>
      <c r="W23" s="786"/>
      <c r="X23" s="786"/>
      <c r="Y23" s="786"/>
      <c r="Z23" s="786"/>
      <c r="AA23" s="786"/>
      <c r="AB23" s="77"/>
      <c r="AC23" s="78"/>
      <c r="AD23" s="126"/>
      <c r="AE23" s="785">
        <f>IF(AE19="","",AR23)</f>
      </c>
      <c r="AF23" s="786"/>
      <c r="AG23" s="786"/>
      <c r="AH23" s="786"/>
      <c r="AI23" s="786"/>
      <c r="AJ23" s="786"/>
      <c r="AK23" s="77"/>
      <c r="AL23" s="78"/>
      <c r="AM23" s="126"/>
      <c r="AN23" s="36"/>
      <c r="AO23" s="2" t="s">
        <v>238</v>
      </c>
      <c r="AP23" s="83">
        <f>-1.002/TAN(RADIANS($AP$22+(7.31/($AP$22+4.4))))*(IF(P14="",1010,P14)/1010)*283/(273+IF(M14="",10,M14))</f>
        <v>-34.54648881074909</v>
      </c>
      <c r="AQ23" s="83">
        <f>-1.002/TAN(RADIANS($AQ$22+(7.31/($AQ$22+4.4))))*(IF(Y14="",1010,Y14)/1010)*283/(273+IF(V14="",10,V14))</f>
        <v>-34.54648881074909</v>
      </c>
      <c r="AR23" s="83">
        <f>-1.002/TAN(RADIANS($AR$22+(7.31/($AR$22+4.4))))*(IF(AH14="",1010,AH14)/1010)*283/(273+IF(AE14="",10,AE14))</f>
        <v>-34.54648881074909</v>
      </c>
      <c r="AS23" s="68"/>
      <c r="AT23" s="68"/>
      <c r="AU23" s="68"/>
      <c r="AV23" s="68"/>
      <c r="AW23" s="68"/>
      <c r="AX23" s="68"/>
      <c r="AY23" s="68"/>
    </row>
    <row r="24" spans="1:51" ht="18" customHeight="1">
      <c r="A24" s="36"/>
      <c r="B24" s="126"/>
      <c r="C24" s="772" t="s">
        <v>428</v>
      </c>
      <c r="D24" s="773"/>
      <c r="E24" s="773"/>
      <c r="F24" s="773"/>
      <c r="G24" s="773"/>
      <c r="H24" s="773"/>
      <c r="I24" s="773"/>
      <c r="J24" s="773"/>
      <c r="K24" s="774"/>
      <c r="L24" s="128"/>
      <c r="M24" s="775">
        <f>IF(M19="","",AP24)</f>
      </c>
      <c r="N24" s="776"/>
      <c r="O24" s="776"/>
      <c r="P24" s="776"/>
      <c r="Q24" s="776"/>
      <c r="R24" s="776"/>
      <c r="S24" s="738"/>
      <c r="T24" s="739"/>
      <c r="U24" s="126"/>
      <c r="V24" s="775">
        <f>IF(V19="","",AQ24)</f>
      </c>
      <c r="W24" s="776"/>
      <c r="X24" s="776"/>
      <c r="Y24" s="776"/>
      <c r="Z24" s="776"/>
      <c r="AA24" s="776"/>
      <c r="AB24" s="738"/>
      <c r="AC24" s="739"/>
      <c r="AD24" s="126"/>
      <c r="AE24" s="775">
        <f>IF(AE19="","",AR24)</f>
      </c>
      <c r="AF24" s="776"/>
      <c r="AG24" s="776"/>
      <c r="AH24" s="776"/>
      <c r="AI24" s="776"/>
      <c r="AJ24" s="776"/>
      <c r="AK24" s="738"/>
      <c r="AL24" s="739"/>
      <c r="AM24" s="126"/>
      <c r="AN24" s="36"/>
      <c r="AO24" s="2" t="s">
        <v>239</v>
      </c>
      <c r="AP24" s="83">
        <f>IF($AP$9="Moon",ROUND($S$24*COS(RADIANS(AP22)),1),IF($AP$9="Sun",ROUND(0.144*COS(RADIANS(AP22)),1),IF(AND($AP$9="Planet1",ISBLANK($S$24)),ROUND(0.144*COS(RADIANS(AP22)),1),IF(AND($AP$9="Planet1",$S$24&gt;=0),ROUND($S$24*COS(RADIANS(AP22)),1),IF(OR($AP$9="Stars",$AP$9="Planet2",$AP$9=""),0)))))</f>
        <v>0</v>
      </c>
      <c r="AQ24" s="83">
        <f>IF($AQ$9="Moon",ROUND($AB$24*COS(RADIANS(AQ22)),1),IF($AQ$9="Sun",ROUND(0.144*COS(RADIANS(AQ22)),1),IF(AND($AQ$9="Planet1",ISBLANK($AB$24)),ROUND(0.144*COS(RADIANS(AQ22)),1),IF(AND($AQ$9="Planet1",$AB$24&gt;=0),ROUND($AB$24*COS(RADIANS(AQ22)),1),IF(OR($AQ$9="Stars",$AQ$9="Planet2",$AQ$9=""),0)))))</f>
        <v>0</v>
      </c>
      <c r="AR24" s="83">
        <f>IF($AR$9="Moon",ROUND($AK$24*COS(RADIANS(AR22)),1),IF($AR$9="Sun",ROUND(0.144*COS(RADIANS(AR22)),1),IF(AND($AR$9="Planet1",ISBLANK($AK$24)),ROUND(0.144*COS(RADIANS(AR22)),1),IF(AND($AR$9="Planet1",$AK$24&gt;=0),ROUND($AK$24*COS(RADIANS(AR22)),1),IF(OR($AR$9="Stars",$AR$9="Planet2",$AR$9=""),0)))))</f>
        <v>0</v>
      </c>
      <c r="AS24" s="68"/>
      <c r="AT24" s="68"/>
      <c r="AU24" s="68"/>
      <c r="AV24" s="68"/>
      <c r="AW24" s="68"/>
      <c r="AX24" s="68"/>
      <c r="AY24" s="68"/>
    </row>
    <row r="25" spans="1:51" ht="18" customHeight="1">
      <c r="A25" s="36"/>
      <c r="B25" s="126"/>
      <c r="C25" s="777" t="s">
        <v>429</v>
      </c>
      <c r="D25" s="773"/>
      <c r="E25" s="773"/>
      <c r="F25" s="773"/>
      <c r="G25" s="773"/>
      <c r="H25" s="773"/>
      <c r="I25" s="773"/>
      <c r="J25" s="773"/>
      <c r="K25" s="774"/>
      <c r="L25" s="128"/>
      <c r="M25" s="742">
        <f>IF(M19="","",AP25)</f>
      </c>
      <c r="N25" s="743"/>
      <c r="O25" s="743"/>
      <c r="P25" s="743"/>
      <c r="Q25" s="743"/>
      <c r="R25" s="743"/>
      <c r="S25" s="738"/>
      <c r="T25" s="739"/>
      <c r="U25" s="126"/>
      <c r="V25" s="742">
        <f>IF(V19="","",AQ25)</f>
      </c>
      <c r="W25" s="743"/>
      <c r="X25" s="743"/>
      <c r="Y25" s="743"/>
      <c r="Z25" s="743"/>
      <c r="AA25" s="743"/>
      <c r="AB25" s="738"/>
      <c r="AC25" s="739"/>
      <c r="AD25" s="126"/>
      <c r="AE25" s="742">
        <f>IF(AE19="","",AR25)</f>
      </c>
      <c r="AF25" s="743"/>
      <c r="AG25" s="743"/>
      <c r="AH25" s="743"/>
      <c r="AI25" s="743"/>
      <c r="AJ25" s="743"/>
      <c r="AK25" s="738"/>
      <c r="AL25" s="739"/>
      <c r="AM25" s="126"/>
      <c r="AN25" s="36"/>
      <c r="AO25" s="2" t="s">
        <v>240</v>
      </c>
      <c r="AP25" s="83">
        <f>IF($AP$9="Moon",ROUND(IF(AND(NOT($AP$10=""),$AP$10&gt;0),-0.102*COS(RADIANS($AP$22))+0.2724*$S$24,IF(AND(NOT($AP$11=""),$AP$11&gt;0),-0.102*COS(RADIANS($AP$22))-0.2724*$S$24,0)),2),IF($AP$9="Sun",IF(AND(NOT($AP$10=""),$AP$10&gt;0),$S$25,IF(AND(NOT($AP$11=""),$AP$11&gt;0),-$S$25,0)),IF(OR($AP$9="Stars",$AP$9="Planet2",$AP$9="Planet1",$AP$9=""),0)))</f>
        <v>0</v>
      </c>
      <c r="AQ25" s="83">
        <f>IF($AQ$9="Moon",ROUND(IF(AND(NOT($AQ$10=""),$AQ$10&gt;0),-0.102*COS(RADIANS($AQ$22))+0.2724*$AB$24,IF(AND(NOT($AQ$11=""),$AQ$11&gt;0),-0.102*COS(RADIANS($AQ$22))-0.2724*$AB$24,0)),2),IF($AQ$9="Sun",IF(AND(NOT($AQ$10=""),$AQ$10&gt;0),$AB$25,IF(AND(NOT($AQ$11=""),$AQ$11&gt;0),-$AB$25,0)),IF(OR($AQ$9="Stars",$AQ$9="Planet2",$AQ$9="Planet1",$AQ$9=""),0)))</f>
        <v>0</v>
      </c>
      <c r="AR25" s="83">
        <f>IF($AR$9="Moon",ROUND(IF(AND(NOT($AR$10=""),$AR$10&gt;0),-0.102*COS(RADIANS($AR$22))+0.2724*$AK$24,IF(AND(NOT($AR$11=""),$AR$11&gt;0),-0.102*COS(RADIANS($AR$22))-0.2724*$AK$24,0)),2),IF($AR$9="Sun",IF(AND(NOT($AR$10=""),$AR$10&gt;0),$AK$25,IF(AND(NOT($AR$11=""),$AR$11&gt;0),-$AK$25,0)),IF(OR($AR$9="Stars",$AR$9="Planet2",$AR$9="Planet1",$AR$9=""),0)))</f>
        <v>0</v>
      </c>
      <c r="AS25" s="68"/>
      <c r="AT25" s="68"/>
      <c r="AU25" s="68"/>
      <c r="AV25" s="68"/>
      <c r="AW25" s="68"/>
      <c r="AX25" s="68"/>
      <c r="AY25" s="68"/>
    </row>
    <row r="26" spans="1:51" ht="18" customHeight="1">
      <c r="A26" s="36"/>
      <c r="B26" s="126"/>
      <c r="C26" s="737" t="s">
        <v>430</v>
      </c>
      <c r="D26" s="736"/>
      <c r="E26" s="736"/>
      <c r="F26" s="736"/>
      <c r="G26" s="736"/>
      <c r="H26" s="736"/>
      <c r="I26" s="736"/>
      <c r="J26" s="736"/>
      <c r="K26" s="736"/>
      <c r="L26" s="128"/>
      <c r="M26" s="740">
        <f>IF(M19="","",TRUNC(AP26)*100+(AP26-TRUNC(AP26))*60)</f>
      </c>
      <c r="N26" s="741"/>
      <c r="O26" s="741"/>
      <c r="P26" s="741"/>
      <c r="Q26" s="741"/>
      <c r="R26" s="741"/>
      <c r="S26" s="421"/>
      <c r="T26" s="78"/>
      <c r="U26" s="126"/>
      <c r="V26" s="740">
        <f>IF(V19="","",TRUNC(AQ26)*100+(AQ26-TRUNC(AQ26))*60)</f>
      </c>
      <c r="W26" s="741"/>
      <c r="X26" s="741"/>
      <c r="Y26" s="741"/>
      <c r="Z26" s="741"/>
      <c r="AA26" s="741"/>
      <c r="AB26" s="77"/>
      <c r="AC26" s="78"/>
      <c r="AD26" s="126"/>
      <c r="AE26" s="740">
        <f>IF(AE19="","",TRUNC(AR26)*100+(AR26-TRUNC(AR26))*60)</f>
      </c>
      <c r="AF26" s="741"/>
      <c r="AG26" s="741"/>
      <c r="AH26" s="741"/>
      <c r="AI26" s="741"/>
      <c r="AJ26" s="741"/>
      <c r="AK26" s="77"/>
      <c r="AL26" s="78"/>
      <c r="AM26" s="126"/>
      <c r="AN26" s="36"/>
      <c r="AO26" s="2" t="s">
        <v>36</v>
      </c>
      <c r="AP26" s="81">
        <f>$AP$22+IF($AP$23="incl. in (P)","0",($AP$23/60))+IF(OR($AP$25="incl. in (P)",$AP$25="+          n/a"),0,($AP$25/60))+($AP$24/60)</f>
        <v>-0.5757748135124848</v>
      </c>
      <c r="AQ26" s="81">
        <f>$AQ$22+IF($AQ$23="incl. in (P)","0",($AQ$23/60))+IF(OR($AQ$25="incl. in (P)",$AQ$25="+          n/a"),0,($AQ$25/60))+($AQ$24/60)</f>
        <v>-0.5757748135124848</v>
      </c>
      <c r="AR26" s="81">
        <f>$AR$22+IF($AR$23="incl. in (P)","0",($AR$23/60))+IF(OR($AR$25="incl. in (P)",$AR$25="+          n/a"),0,($AR$25/60))+($AR$24/60)</f>
        <v>-0.5757748135124848</v>
      </c>
      <c r="AS26" s="68"/>
      <c r="AT26" s="68"/>
      <c r="AU26" s="68"/>
      <c r="AV26" s="68"/>
      <c r="AW26" s="68"/>
      <c r="AX26" s="68"/>
      <c r="AY26" s="68"/>
    </row>
    <row r="27" spans="1:44" ht="18" customHeight="1">
      <c r="A27" s="36"/>
      <c r="B27" s="126"/>
      <c r="C27" s="737" t="s">
        <v>431</v>
      </c>
      <c r="D27" s="736"/>
      <c r="E27" s="736"/>
      <c r="F27" s="736"/>
      <c r="G27" s="736"/>
      <c r="H27" s="736"/>
      <c r="I27" s="736"/>
      <c r="J27" s="736"/>
      <c r="K27" s="736"/>
      <c r="L27" s="128"/>
      <c r="M27" s="740">
        <f>IF(M19="","",TRUNC(AP27)*100+(AP27-TRUNC(AP27))*60)</f>
      </c>
      <c r="N27" s="741"/>
      <c r="O27" s="741"/>
      <c r="P27" s="741"/>
      <c r="Q27" s="741"/>
      <c r="R27" s="741"/>
      <c r="S27" s="77"/>
      <c r="T27" s="78"/>
      <c r="U27" s="126"/>
      <c r="V27" s="740">
        <f>IF(V19="","",TRUNC(AQ27)*100+(AQ27-TRUNC(AQ27))*60)</f>
      </c>
      <c r="W27" s="741"/>
      <c r="X27" s="741"/>
      <c r="Y27" s="741"/>
      <c r="Z27" s="741"/>
      <c r="AA27" s="741"/>
      <c r="AB27" s="77"/>
      <c r="AC27" s="78"/>
      <c r="AD27" s="126"/>
      <c r="AE27" s="740">
        <f>IF(AE19="","",TRUNC(AR27)*100+(AR27-TRUNC(AR27))*60)</f>
      </c>
      <c r="AF27" s="741"/>
      <c r="AG27" s="741"/>
      <c r="AH27" s="741"/>
      <c r="AI27" s="741"/>
      <c r="AJ27" s="741"/>
      <c r="AK27" s="77"/>
      <c r="AL27" s="78"/>
      <c r="AM27" s="126"/>
      <c r="AN27" s="36"/>
      <c r="AO27" s="2" t="s">
        <v>34</v>
      </c>
      <c r="AP27" s="81">
        <f>DEGREES(ASIN(SIN(RADIANS(AP16))*SIN(RADIANS(AP41))+COS(RADIANS(AP16))*COS(RADIANS(AP41))*COS(RADIANS((AP37)))))</f>
        <v>90</v>
      </c>
      <c r="AQ27" s="81">
        <f>DEGREES(ASIN(SIN(RADIANS(AQ16))*SIN(RADIANS(AQ41))+COS(RADIANS(AQ16))*COS(RADIANS(AQ41))*COS(RADIANS((AQ37)))))</f>
        <v>90</v>
      </c>
      <c r="AR27" s="81">
        <f>DEGREES(ASIN(SIN(RADIANS(AR16))*SIN(RADIANS(AR41))+COS(RADIANS(AR16))*COS(RADIANS(AR41))*COS(RADIANS((AR37)))))</f>
        <v>90</v>
      </c>
    </row>
    <row r="28" spans="1:44" ht="18" customHeight="1">
      <c r="A28" s="36"/>
      <c r="B28" s="126"/>
      <c r="C28" s="737" t="s">
        <v>432</v>
      </c>
      <c r="D28" s="736"/>
      <c r="E28" s="736"/>
      <c r="F28" s="736"/>
      <c r="G28" s="736"/>
      <c r="H28" s="736"/>
      <c r="I28" s="736"/>
      <c r="J28" s="736"/>
      <c r="K28" s="736"/>
      <c r="L28" s="128"/>
      <c r="M28" s="742">
        <f>IF(M19="","",AP28*60)</f>
      </c>
      <c r="N28" s="743"/>
      <c r="O28" s="743"/>
      <c r="P28" s="743"/>
      <c r="Q28" s="743"/>
      <c r="R28" s="743"/>
      <c r="S28" s="77"/>
      <c r="T28" s="78"/>
      <c r="U28" s="126"/>
      <c r="V28" s="742">
        <f>IF(V19="","",AQ28*60)</f>
      </c>
      <c r="W28" s="743"/>
      <c r="X28" s="743"/>
      <c r="Y28" s="743"/>
      <c r="Z28" s="743"/>
      <c r="AA28" s="743"/>
      <c r="AB28" s="77"/>
      <c r="AC28" s="78"/>
      <c r="AD28" s="126"/>
      <c r="AE28" s="742">
        <f>IF(AE19="","",AR28*60)</f>
      </c>
      <c r="AF28" s="743"/>
      <c r="AG28" s="743"/>
      <c r="AH28" s="743"/>
      <c r="AI28" s="743"/>
      <c r="AJ28" s="743"/>
      <c r="AK28" s="77"/>
      <c r="AL28" s="78"/>
      <c r="AM28" s="126"/>
      <c r="AN28" s="36"/>
      <c r="AO28" s="2" t="s">
        <v>241</v>
      </c>
      <c r="AP28" s="81">
        <f>AP26-AP27</f>
        <v>-90.57577481351248</v>
      </c>
      <c r="AQ28" s="81">
        <f>AQ26-AQ27</f>
        <v>-90.57577481351248</v>
      </c>
      <c r="AR28" s="81">
        <f>AR26-AR27</f>
        <v>-90.57577481351248</v>
      </c>
    </row>
    <row r="29" spans="1:40" ht="3" customHeight="1">
      <c r="A29" s="36"/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6"/>
      <c r="AN29" s="36"/>
    </row>
    <row r="30" spans="1:40" ht="3" customHeight="1">
      <c r="A30" s="36"/>
      <c r="B30" s="126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6"/>
      <c r="AN30" s="36"/>
    </row>
    <row r="31" spans="1:44" ht="18" customHeight="1">
      <c r="A31" s="36"/>
      <c r="B31" s="126"/>
      <c r="C31" s="728" t="s">
        <v>182</v>
      </c>
      <c r="D31" s="729"/>
      <c r="E31" s="729"/>
      <c r="F31" s="729"/>
      <c r="G31" s="729"/>
      <c r="H31" s="729"/>
      <c r="I31" s="729"/>
      <c r="J31" s="729"/>
      <c r="K31" s="730"/>
      <c r="L31" s="129"/>
      <c r="M31" s="805"/>
      <c r="N31" s="806"/>
      <c r="O31" s="806"/>
      <c r="P31" s="806"/>
      <c r="Q31" s="806"/>
      <c r="R31" s="806"/>
      <c r="S31" s="156"/>
      <c r="T31" s="157"/>
      <c r="U31" s="133"/>
      <c r="V31" s="805"/>
      <c r="W31" s="806"/>
      <c r="X31" s="806"/>
      <c r="Y31" s="806"/>
      <c r="Z31" s="806"/>
      <c r="AA31" s="806"/>
      <c r="AB31" s="156"/>
      <c r="AC31" s="157"/>
      <c r="AD31" s="126"/>
      <c r="AE31" s="805"/>
      <c r="AF31" s="806"/>
      <c r="AG31" s="806"/>
      <c r="AH31" s="806"/>
      <c r="AI31" s="806"/>
      <c r="AJ31" s="806"/>
      <c r="AK31" s="156"/>
      <c r="AL31" s="157"/>
      <c r="AM31" s="126"/>
      <c r="AN31" s="36"/>
      <c r="AO31" s="2" t="s">
        <v>242</v>
      </c>
      <c r="AP31" s="81">
        <f>TRUNC(M31/100)+(M31/100-TRUNC(M31/100))/60*100</f>
        <v>0</v>
      </c>
      <c r="AQ31" s="81">
        <f>TRUNC(V31/100)+(V31/100-TRUNC(V31/100))/60*100</f>
        <v>0</v>
      </c>
      <c r="AR31" s="81">
        <f>TRUNC(AE31/100)+(AE31/100-TRUNC(AE31/100))/60*100</f>
        <v>0</v>
      </c>
    </row>
    <row r="32" spans="1:47" ht="18" customHeight="1">
      <c r="A32" s="36"/>
      <c r="B32" s="126"/>
      <c r="C32" s="736" t="s">
        <v>180</v>
      </c>
      <c r="D32" s="736"/>
      <c r="E32" s="736"/>
      <c r="F32" s="736"/>
      <c r="G32" s="736"/>
      <c r="H32" s="736"/>
      <c r="I32" s="736"/>
      <c r="J32" s="736"/>
      <c r="K32" s="736"/>
      <c r="L32" s="128"/>
      <c r="M32" s="805"/>
      <c r="N32" s="806"/>
      <c r="O32" s="806"/>
      <c r="P32" s="806"/>
      <c r="Q32" s="806"/>
      <c r="R32" s="806"/>
      <c r="S32" s="156"/>
      <c r="T32" s="157"/>
      <c r="U32" s="126"/>
      <c r="V32" s="805"/>
      <c r="W32" s="806"/>
      <c r="X32" s="806"/>
      <c r="Y32" s="806"/>
      <c r="Z32" s="806"/>
      <c r="AA32" s="806"/>
      <c r="AB32" s="156"/>
      <c r="AC32" s="157"/>
      <c r="AD32" s="126"/>
      <c r="AE32" s="805"/>
      <c r="AF32" s="806"/>
      <c r="AG32" s="806"/>
      <c r="AH32" s="806"/>
      <c r="AI32" s="806"/>
      <c r="AJ32" s="806"/>
      <c r="AK32" s="156"/>
      <c r="AL32" s="157"/>
      <c r="AM32" s="141"/>
      <c r="AN32" s="36"/>
      <c r="AO32" s="64" t="s">
        <v>243</v>
      </c>
      <c r="AP32" s="81">
        <f>TRUNC(M32/100)+(M32/100-TRUNC(M32/100))/60*100</f>
        <v>0</v>
      </c>
      <c r="AQ32" s="81">
        <f>TRUNC(V32/100)+(V32/100-TRUNC(V32/100))/60*100</f>
        <v>0</v>
      </c>
      <c r="AR32" s="81">
        <f>TRUNC(AE32/100)+(AE32/100-TRUNC(AE32/100))/60*100</f>
        <v>0</v>
      </c>
      <c r="AU32" s="61"/>
    </row>
    <row r="33" spans="1:47" ht="18" customHeight="1">
      <c r="A33" s="36"/>
      <c r="B33" s="126"/>
      <c r="C33" s="736" t="s">
        <v>216</v>
      </c>
      <c r="D33" s="736"/>
      <c r="E33" s="736"/>
      <c r="F33" s="736"/>
      <c r="G33" s="736"/>
      <c r="H33" s="736"/>
      <c r="I33" s="736"/>
      <c r="J33" s="736"/>
      <c r="K33" s="736"/>
      <c r="L33" s="128"/>
      <c r="M33" s="747">
        <f>AP33</f>
        <v>0</v>
      </c>
      <c r="N33" s="748"/>
      <c r="O33" s="748"/>
      <c r="P33" s="748"/>
      <c r="Q33" s="748"/>
      <c r="R33" s="748"/>
      <c r="S33" s="738"/>
      <c r="T33" s="739"/>
      <c r="U33" s="126"/>
      <c r="V33" s="747">
        <f>AQ33</f>
        <v>0</v>
      </c>
      <c r="W33" s="748"/>
      <c r="X33" s="748"/>
      <c r="Y33" s="748"/>
      <c r="Z33" s="748"/>
      <c r="AA33" s="748"/>
      <c r="AB33" s="738"/>
      <c r="AC33" s="739"/>
      <c r="AD33" s="126"/>
      <c r="AE33" s="747">
        <f>AR33</f>
        <v>0</v>
      </c>
      <c r="AF33" s="748"/>
      <c r="AG33" s="748"/>
      <c r="AH33" s="748"/>
      <c r="AI33" s="748"/>
      <c r="AJ33" s="748"/>
      <c r="AK33" s="738"/>
      <c r="AL33" s="739"/>
      <c r="AM33" s="141"/>
      <c r="AN33" s="36"/>
      <c r="AO33" s="64" t="s">
        <v>244</v>
      </c>
      <c r="AP33" s="82">
        <f>S33/60*MINUTE($M$10)</f>
        <v>0</v>
      </c>
      <c r="AQ33" s="82">
        <f>AB33/60*MINUTE($V$10)</f>
        <v>0</v>
      </c>
      <c r="AR33" s="82">
        <f>AK33/60*MINUTE($AE$10)</f>
        <v>0</v>
      </c>
      <c r="AU33" s="61"/>
    </row>
    <row r="34" spans="1:44" ht="18" customHeight="1">
      <c r="A34" s="36"/>
      <c r="B34" s="126"/>
      <c r="C34" s="736" t="s">
        <v>181</v>
      </c>
      <c r="D34" s="736"/>
      <c r="E34" s="736"/>
      <c r="F34" s="736"/>
      <c r="G34" s="736"/>
      <c r="H34" s="736"/>
      <c r="I34" s="736"/>
      <c r="J34" s="736"/>
      <c r="K34" s="736"/>
      <c r="L34" s="128"/>
      <c r="M34" s="805"/>
      <c r="N34" s="806"/>
      <c r="O34" s="806"/>
      <c r="P34" s="806"/>
      <c r="Q34" s="806"/>
      <c r="R34" s="806"/>
      <c r="S34" s="156"/>
      <c r="T34" s="157"/>
      <c r="U34" s="126"/>
      <c r="V34" s="805"/>
      <c r="W34" s="806"/>
      <c r="X34" s="806"/>
      <c r="Y34" s="806"/>
      <c r="Z34" s="806"/>
      <c r="AA34" s="806"/>
      <c r="AB34" s="156"/>
      <c r="AC34" s="157"/>
      <c r="AD34" s="126"/>
      <c r="AE34" s="805"/>
      <c r="AF34" s="806"/>
      <c r="AG34" s="806"/>
      <c r="AH34" s="806"/>
      <c r="AI34" s="806"/>
      <c r="AJ34" s="806"/>
      <c r="AK34" s="156"/>
      <c r="AL34" s="157"/>
      <c r="AM34" s="141"/>
      <c r="AN34" s="36"/>
      <c r="AO34" s="64" t="s">
        <v>40</v>
      </c>
      <c r="AP34" s="81">
        <f>TRUNC(M34/100)+(M34/100-TRUNC(M34/100))/60*100</f>
        <v>0</v>
      </c>
      <c r="AQ34" s="81">
        <f>TRUNC(V34/100)+(V34/100-TRUNC(V34/100))/60*100</f>
        <v>0</v>
      </c>
      <c r="AR34" s="81">
        <f>TRUNC(AE34/100)+(AE34/100-TRUNC(AE34/100))/60*100</f>
        <v>0</v>
      </c>
    </row>
    <row r="35" spans="1:45" ht="18" customHeight="1">
      <c r="A35" s="36"/>
      <c r="B35" s="126"/>
      <c r="C35" s="728" t="s">
        <v>182</v>
      </c>
      <c r="D35" s="729"/>
      <c r="E35" s="729"/>
      <c r="F35" s="729"/>
      <c r="G35" s="729"/>
      <c r="H35" s="729"/>
      <c r="I35" s="729"/>
      <c r="J35" s="729"/>
      <c r="K35" s="730"/>
      <c r="L35" s="129"/>
      <c r="M35" s="733">
        <f>IF(M31="","",TRUNC(AP35)*100+(AP35-TRUNC(AP35))*60)</f>
      </c>
      <c r="N35" s="734"/>
      <c r="O35" s="734"/>
      <c r="P35" s="734"/>
      <c r="Q35" s="734"/>
      <c r="R35" s="734"/>
      <c r="S35" s="158"/>
      <c r="T35" s="159"/>
      <c r="U35" s="133"/>
      <c r="V35" s="733">
        <f>IF(V31="","",TRUNC(AQ35)*100+(AQ35-TRUNC(AQ35))*60)</f>
      </c>
      <c r="W35" s="734"/>
      <c r="X35" s="734"/>
      <c r="Y35" s="734"/>
      <c r="Z35" s="734"/>
      <c r="AA35" s="734"/>
      <c r="AB35" s="158"/>
      <c r="AC35" s="159"/>
      <c r="AD35" s="126"/>
      <c r="AE35" s="733">
        <f>IF(AE31="","",TRUNC(AR35)*100+(AR35-TRUNC(AR35))*60)</f>
      </c>
      <c r="AF35" s="734"/>
      <c r="AG35" s="734"/>
      <c r="AH35" s="734"/>
      <c r="AI35" s="734"/>
      <c r="AJ35" s="734"/>
      <c r="AK35" s="158"/>
      <c r="AL35" s="159"/>
      <c r="AM35" s="141"/>
      <c r="AN35" s="36"/>
      <c r="AO35" s="64" t="s">
        <v>242</v>
      </c>
      <c r="AP35" s="81">
        <f>IF(SUM(AP31:AP32,AP34)+AP33/60&gt;360,SUM(AP31:AP32,AP34)+AP33/60-360,SUM(AP31:AP32,AP34)+AP33/60)</f>
        <v>0</v>
      </c>
      <c r="AQ35" s="81">
        <f>IF(SUM(AQ31:AQ32,AQ34)+AQ33/60&gt;360,SUM(AQ31:AQ32,AQ34)+AQ33/60-360,SUM(AQ31:AQ32,AQ34)+AQ33/60)</f>
        <v>0</v>
      </c>
      <c r="AR35" s="81">
        <f>IF(SUM(AR31:AR32,AR34)+AR33/60&gt;360,SUM(AR31:AR32,AR34)+AR33/60-360,SUM(AR31:AR32,AR34)+AR33/60)</f>
        <v>0</v>
      </c>
      <c r="AS35" s="406"/>
    </row>
    <row r="36" spans="1:45" ht="18" customHeight="1">
      <c r="A36" s="36"/>
      <c r="B36" s="126"/>
      <c r="C36" s="736" t="s">
        <v>435</v>
      </c>
      <c r="D36" s="736"/>
      <c r="E36" s="736"/>
      <c r="F36" s="736"/>
      <c r="G36" s="736"/>
      <c r="H36" s="736"/>
      <c r="I36" s="736"/>
      <c r="J36" s="736"/>
      <c r="K36" s="736"/>
      <c r="L36" s="128"/>
      <c r="M36" s="810">
        <f>IF(M31="","",TRUNC(AP36)*100+(AP36-TRUNC(AP36))*60)</f>
      </c>
      <c r="N36" s="811"/>
      <c r="O36" s="811"/>
      <c r="P36" s="811"/>
      <c r="Q36" s="811"/>
      <c r="R36" s="811"/>
      <c r="S36" s="731">
        <f>IF(AND($M$9="",$M$10=""),"",IF(AP36&lt;0,"W","E"))</f>
      </c>
      <c r="T36" s="732"/>
      <c r="U36" s="126"/>
      <c r="V36" s="810">
        <f>IF(V31="","",TRUNC(AQ36)*100+(AQ36-TRUNC(AQ36))*60)</f>
      </c>
      <c r="W36" s="811"/>
      <c r="X36" s="811"/>
      <c r="Y36" s="811"/>
      <c r="Z36" s="811"/>
      <c r="AA36" s="811"/>
      <c r="AB36" s="731">
        <f>IF(AND($V$9="",$V$10=""),"",IF(AQ36&lt;0,"W","E"))</f>
      </c>
      <c r="AC36" s="732"/>
      <c r="AD36" s="126"/>
      <c r="AE36" s="810">
        <f>IF(AE31="","",TRUNC(AR36)*100+(AR36-TRUNC(AR36))*60)</f>
      </c>
      <c r="AF36" s="811"/>
      <c r="AG36" s="811"/>
      <c r="AH36" s="811"/>
      <c r="AI36" s="811"/>
      <c r="AJ36" s="811"/>
      <c r="AK36" s="731">
        <f>IF(AND($AE$9="",$AE$10=""),"",IF(AR36&lt;0,"W","E"))</f>
      </c>
      <c r="AL36" s="732"/>
      <c r="AM36" s="141"/>
      <c r="AN36" s="36"/>
      <c r="AO36" s="64" t="s">
        <v>245</v>
      </c>
      <c r="AP36" s="81">
        <f>AP17</f>
        <v>0</v>
      </c>
      <c r="AQ36" s="81">
        <f>AQ17</f>
        <v>0</v>
      </c>
      <c r="AR36" s="81">
        <f>AR17</f>
        <v>0</v>
      </c>
      <c r="AS36" s="406"/>
    </row>
    <row r="37" spans="1:47" ht="18" customHeight="1">
      <c r="A37" s="36"/>
      <c r="B37" s="126"/>
      <c r="C37" s="736" t="s">
        <v>183</v>
      </c>
      <c r="D37" s="736"/>
      <c r="E37" s="736"/>
      <c r="F37" s="736"/>
      <c r="G37" s="736"/>
      <c r="H37" s="736"/>
      <c r="I37" s="736"/>
      <c r="J37" s="736"/>
      <c r="K37" s="736"/>
      <c r="L37" s="128"/>
      <c r="M37" s="733">
        <f>IF(M31="","",TRUNC(AP37)*100+(AP37-TRUNC(AP37))*60)</f>
      </c>
      <c r="N37" s="734"/>
      <c r="O37" s="734"/>
      <c r="P37" s="734"/>
      <c r="Q37" s="734"/>
      <c r="R37" s="734"/>
      <c r="S37" s="158"/>
      <c r="T37" s="159"/>
      <c r="U37" s="126"/>
      <c r="V37" s="733">
        <f>IF(V31="","",TRUNC(AQ37)*100+(AQ37-TRUNC(AQ37))*60)</f>
      </c>
      <c r="W37" s="734"/>
      <c r="X37" s="734"/>
      <c r="Y37" s="734"/>
      <c r="Z37" s="734"/>
      <c r="AA37" s="734"/>
      <c r="AB37" s="158"/>
      <c r="AC37" s="159"/>
      <c r="AD37" s="126"/>
      <c r="AE37" s="733">
        <f>IF(AE31="","",TRUNC(AR37)*100+(AR37-TRUNC(AR37))*60)</f>
      </c>
      <c r="AF37" s="734"/>
      <c r="AG37" s="734"/>
      <c r="AH37" s="734"/>
      <c r="AI37" s="734"/>
      <c r="AJ37" s="734"/>
      <c r="AK37" s="158"/>
      <c r="AL37" s="159"/>
      <c r="AM37" s="141"/>
      <c r="AN37" s="36"/>
      <c r="AO37" s="64" t="s">
        <v>246</v>
      </c>
      <c r="AP37" s="81">
        <f>IF(SUM(AP35:AP36)&gt;360,SUM(AP35:AP36)-360,IF(SUM(AP35:AP36)&lt;0,SUM(AP35:AP36)+360,SUM(AP35:AP36)))</f>
        <v>0</v>
      </c>
      <c r="AQ37" s="81">
        <f>IF(SUM(AQ35:AQ36)&gt;360,SUM(AQ35:AQ36)-360,IF(SUM(AQ35:AQ36)&lt;0,SUM(AQ35:AQ36)+360,SUM(AQ35:AQ36)))</f>
        <v>0</v>
      </c>
      <c r="AR37" s="81">
        <f>IF(SUM(AR35:AR36)&gt;360,SUM(AR35:AR36)-360,IF(SUM(AR35:AR36)&lt;0,SUM(AR35:AR36)+360,SUM(AR35:AR36)))</f>
        <v>0</v>
      </c>
      <c r="AS37" s="406"/>
      <c r="AU37" s="61"/>
    </row>
    <row r="38" spans="1:41" ht="3.75" customHeight="1">
      <c r="A38" s="3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47"/>
      <c r="N38" s="147"/>
      <c r="O38" s="147"/>
      <c r="P38" s="147"/>
      <c r="Q38" s="147"/>
      <c r="R38" s="147"/>
      <c r="S38" s="147"/>
      <c r="T38" s="147"/>
      <c r="U38" s="126"/>
      <c r="V38" s="147"/>
      <c r="W38" s="147"/>
      <c r="X38" s="147"/>
      <c r="Y38" s="147"/>
      <c r="Z38" s="147"/>
      <c r="AA38" s="147"/>
      <c r="AB38" s="147"/>
      <c r="AC38" s="147"/>
      <c r="AD38" s="126"/>
      <c r="AE38" s="147"/>
      <c r="AF38" s="147"/>
      <c r="AG38" s="147"/>
      <c r="AH38" s="147"/>
      <c r="AI38" s="147"/>
      <c r="AJ38" s="147"/>
      <c r="AK38" s="147"/>
      <c r="AL38" s="147"/>
      <c r="AM38" s="141"/>
      <c r="AN38" s="36"/>
      <c r="AO38" s="58"/>
    </row>
    <row r="39" spans="1:44" ht="18" customHeight="1">
      <c r="A39" s="36"/>
      <c r="B39" s="126"/>
      <c r="C39" s="728" t="s">
        <v>436</v>
      </c>
      <c r="D39" s="729"/>
      <c r="E39" s="729"/>
      <c r="F39" s="729"/>
      <c r="G39" s="729"/>
      <c r="H39" s="729"/>
      <c r="I39" s="729"/>
      <c r="J39" s="729"/>
      <c r="K39" s="730"/>
      <c r="L39" s="129"/>
      <c r="M39" s="798"/>
      <c r="N39" s="799"/>
      <c r="O39" s="799"/>
      <c r="P39" s="799"/>
      <c r="Q39" s="799"/>
      <c r="R39" s="799"/>
      <c r="S39" s="624">
        <f>IF(AND($M$9="",$M$10=""),"",IF(AP39&lt;0,"S","N"))</f>
      </c>
      <c r="T39" s="746"/>
      <c r="U39" s="133"/>
      <c r="V39" s="798"/>
      <c r="W39" s="799"/>
      <c r="X39" s="799"/>
      <c r="Y39" s="799"/>
      <c r="Z39" s="799"/>
      <c r="AA39" s="799"/>
      <c r="AB39" s="624">
        <f>IF(AND($V$9="",$V$10=""),"",IF(AQ39&lt;0,"S","N"))</f>
      </c>
      <c r="AC39" s="746"/>
      <c r="AD39" s="126"/>
      <c r="AE39" s="798"/>
      <c r="AF39" s="799"/>
      <c r="AG39" s="799"/>
      <c r="AH39" s="799"/>
      <c r="AI39" s="799"/>
      <c r="AJ39" s="799"/>
      <c r="AK39" s="624">
        <f>IF(AND($AE$9="",$AE$10=""),"",IF(AR39&lt;0,"S","N"))</f>
      </c>
      <c r="AL39" s="746"/>
      <c r="AM39" s="141"/>
      <c r="AN39" s="36"/>
      <c r="AO39" s="58"/>
      <c r="AP39" s="81">
        <f>TRUNC(M39/100)+(M39/100-TRUNC(M39/100))/60*100</f>
        <v>0</v>
      </c>
      <c r="AQ39" s="81">
        <f>TRUNC(V39/100)+(V39/100-TRUNC(V39/100))/60*100</f>
        <v>0</v>
      </c>
      <c r="AR39" s="81">
        <f>TRUNC(AE39/100)+(AE39/100-TRUNC(AE39/100))/60*100</f>
        <v>0</v>
      </c>
    </row>
    <row r="40" spans="1:44" ht="18" customHeight="1">
      <c r="A40" s="36"/>
      <c r="B40" s="126"/>
      <c r="C40" s="728" t="s">
        <v>217</v>
      </c>
      <c r="D40" s="729"/>
      <c r="E40" s="729"/>
      <c r="F40" s="729"/>
      <c r="G40" s="729"/>
      <c r="H40" s="729"/>
      <c r="I40" s="729"/>
      <c r="J40" s="729"/>
      <c r="K40" s="730"/>
      <c r="L40" s="128"/>
      <c r="M40" s="747">
        <f>AP40</f>
        <v>0</v>
      </c>
      <c r="N40" s="748"/>
      <c r="O40" s="748"/>
      <c r="P40" s="748"/>
      <c r="Q40" s="748"/>
      <c r="R40" s="748"/>
      <c r="S40" s="738"/>
      <c r="T40" s="739"/>
      <c r="U40" s="126"/>
      <c r="V40" s="747">
        <f>AQ40</f>
        <v>0</v>
      </c>
      <c r="W40" s="748"/>
      <c r="X40" s="748"/>
      <c r="Y40" s="748"/>
      <c r="Z40" s="748"/>
      <c r="AA40" s="748"/>
      <c r="AB40" s="738"/>
      <c r="AC40" s="739"/>
      <c r="AD40" s="126"/>
      <c r="AE40" s="747">
        <f>AR40</f>
        <v>0</v>
      </c>
      <c r="AF40" s="748"/>
      <c r="AG40" s="748"/>
      <c r="AH40" s="748"/>
      <c r="AI40" s="748"/>
      <c r="AJ40" s="748"/>
      <c r="AK40" s="738"/>
      <c r="AL40" s="739"/>
      <c r="AM40" s="141"/>
      <c r="AN40" s="36"/>
      <c r="AO40" s="58"/>
      <c r="AP40" s="82">
        <f>S40/60*MINUTE($M$10)</f>
        <v>0</v>
      </c>
      <c r="AQ40" s="82">
        <f>AB40/60*MINUTE($V$10)</f>
        <v>0</v>
      </c>
      <c r="AR40" s="82">
        <f>AK40/60*MINUTE($M$10)</f>
        <v>0</v>
      </c>
    </row>
    <row r="41" spans="1:44" ht="18" customHeight="1">
      <c r="A41" s="36"/>
      <c r="B41" s="126"/>
      <c r="C41" s="728" t="s">
        <v>436</v>
      </c>
      <c r="D41" s="729"/>
      <c r="E41" s="729"/>
      <c r="F41" s="729"/>
      <c r="G41" s="729"/>
      <c r="H41" s="729"/>
      <c r="I41" s="729"/>
      <c r="J41" s="729"/>
      <c r="K41" s="730"/>
      <c r="L41" s="128"/>
      <c r="M41" s="749">
        <f>IF(M39="","",TRUNC(AP41)*100+(AP41-TRUNC(AP41))*60)</f>
      </c>
      <c r="N41" s="750"/>
      <c r="O41" s="750"/>
      <c r="P41" s="750"/>
      <c r="Q41" s="750"/>
      <c r="R41" s="750"/>
      <c r="S41" s="744">
        <f>IF(AND($M$9="",$M$10=""),"",IF(AP41&lt;0,"S","N"))</f>
      </c>
      <c r="T41" s="745"/>
      <c r="U41" s="126"/>
      <c r="V41" s="749">
        <f>IF(V39="","",TRUNC(AQ41)*100+(AQ41-TRUNC(AQ41))*60)</f>
      </c>
      <c r="W41" s="750"/>
      <c r="X41" s="750"/>
      <c r="Y41" s="750"/>
      <c r="Z41" s="750"/>
      <c r="AA41" s="750"/>
      <c r="AB41" s="744">
        <f>IF(AND($V$9="",$V$10=""),"",IF(AQ41&lt;0,"S","N"))</f>
      </c>
      <c r="AC41" s="745"/>
      <c r="AD41" s="126"/>
      <c r="AE41" s="749">
        <f>IF(AE39="","",TRUNC(AR41)*100+(AR41-TRUNC(AR41))*60)</f>
      </c>
      <c r="AF41" s="750"/>
      <c r="AG41" s="750"/>
      <c r="AH41" s="750"/>
      <c r="AI41" s="750"/>
      <c r="AJ41" s="750"/>
      <c r="AK41" s="744">
        <f>IF(AND($AE$9="",$AE$10=""),"",IF(AR41&lt;0,"S","N"))</f>
      </c>
      <c r="AL41" s="745"/>
      <c r="AM41" s="141"/>
      <c r="AN41" s="36"/>
      <c r="AO41" s="58"/>
      <c r="AP41" s="81">
        <f>AP39+(AP40/60)</f>
        <v>0</v>
      </c>
      <c r="AQ41" s="81">
        <f>AQ39+(AQ40/60)</f>
        <v>0</v>
      </c>
      <c r="AR41" s="81">
        <f>AR39+(AR40/60)</f>
        <v>0</v>
      </c>
    </row>
    <row r="42" spans="1:44" s="126" customFormat="1" ht="3" customHeight="1">
      <c r="A42" s="3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N42" s="36"/>
      <c r="AP42" s="148"/>
      <c r="AQ42" s="148"/>
      <c r="AR42" s="148"/>
    </row>
    <row r="43" spans="1:44" s="126" customFormat="1" ht="3" customHeight="1">
      <c r="A43" s="36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N43" s="36"/>
      <c r="AP43" s="148"/>
      <c r="AQ43" s="148"/>
      <c r="AR43" s="148"/>
    </row>
    <row r="44" spans="1:59" ht="18" customHeight="1">
      <c r="A44" s="36"/>
      <c r="B44" s="126"/>
      <c r="C44" s="728" t="s">
        <v>218</v>
      </c>
      <c r="D44" s="729"/>
      <c r="E44" s="729"/>
      <c r="F44" s="729"/>
      <c r="G44" s="729"/>
      <c r="H44" s="729"/>
      <c r="I44" s="729"/>
      <c r="J44" s="729"/>
      <c r="K44" s="730"/>
      <c r="L44" s="128"/>
      <c r="M44" s="800">
        <f>IF(AND(M19="",M31="",M39=""),"",AP44)</f>
      </c>
      <c r="N44" s="801"/>
      <c r="O44" s="801"/>
      <c r="P44" s="801"/>
      <c r="Q44" s="801"/>
      <c r="R44" s="801"/>
      <c r="S44" s="158"/>
      <c r="T44" s="159"/>
      <c r="U44" s="126"/>
      <c r="V44" s="800">
        <f>IF(AND(V19="",V31="",V39=""),"",AQ44)</f>
      </c>
      <c r="W44" s="801"/>
      <c r="X44" s="801"/>
      <c r="Y44" s="801"/>
      <c r="Z44" s="801"/>
      <c r="AA44" s="801"/>
      <c r="AB44" s="158"/>
      <c r="AC44" s="159"/>
      <c r="AD44" s="126"/>
      <c r="AE44" s="800">
        <f>IF(AND(AE19="",AE31="",AE39=""),"",AR44)</f>
      </c>
      <c r="AF44" s="801"/>
      <c r="AG44" s="801"/>
      <c r="AH44" s="801"/>
      <c r="AI44" s="801"/>
      <c r="AJ44" s="801"/>
      <c r="AK44" s="158"/>
      <c r="AL44" s="159"/>
      <c r="AM44" s="142"/>
      <c r="AN44" s="36"/>
      <c r="AO44" s="62"/>
      <c r="AP44" s="84">
        <f>IF(AP37&gt;180,DEGREES(ACOS((SIN(RADIANS(AP41))-SIN(RADIANS(AP27))*SIN(RADIANS(AP16)))/(COS(RADIANS(AP27))*COS(RADIANS(AP16))))),360-DEGREES(ACOS((SIN(RADIANS(AP41))-SIN(RADIANS(AP27))*SIN(RADIANS(AP16)))/(COS(RADIANS(AP27))*COS(RADIANS(AP16))))))</f>
        <v>270</v>
      </c>
      <c r="AQ44" s="84">
        <f>IF(AQ37&gt;180,DEGREES(ACOS((SIN(RADIANS(AQ41))-SIN(RADIANS(AQ27))*SIN(RADIANS(AQ16)))/(COS(RADIANS(AQ27))*COS(RADIANS(AQ16))))),360-DEGREES(ACOS((SIN(RADIANS(AQ41))-SIN(RADIANS(AQ27))*SIN(RADIANS(AQ16)))/(COS(RADIANS(AQ27))*COS(RADIANS(AQ16))))))</f>
        <v>270</v>
      </c>
      <c r="AR44" s="84">
        <f>IF(AR37&gt;180,DEGREES(ACOS((SIN(RADIANS(AR41))-SIN(RADIANS(AR27))*SIN(RADIANS(AR16)))/(COS(RADIANS(AR27))*COS(RADIANS(AR16))))),360-DEGREES(ACOS((SIN(RADIANS(AR41))-SIN(RADIANS(AR27))*SIN(RADIANS(AR16)))/(COS(RADIANS(AR27))*COS(RADIANS(AR16))))))</f>
        <v>270</v>
      </c>
      <c r="BB44" s="269"/>
      <c r="BC44" s="270"/>
      <c r="BD44" s="270"/>
      <c r="BF44" s="270"/>
      <c r="BG44" s="270"/>
    </row>
    <row r="45" spans="1:59" ht="18" customHeight="1">
      <c r="A45" s="36"/>
      <c r="B45" s="126"/>
      <c r="C45" s="728" t="s">
        <v>433</v>
      </c>
      <c r="D45" s="729"/>
      <c r="E45" s="729"/>
      <c r="F45" s="729"/>
      <c r="G45" s="729"/>
      <c r="H45" s="729"/>
      <c r="I45" s="729"/>
      <c r="J45" s="729"/>
      <c r="K45" s="730"/>
      <c r="L45" s="128"/>
      <c r="M45" s="812">
        <f>IF(M44="","",M28)</f>
      </c>
      <c r="N45" s="813"/>
      <c r="O45" s="813"/>
      <c r="P45" s="813"/>
      <c r="Q45" s="813"/>
      <c r="R45" s="813"/>
      <c r="S45" s="77"/>
      <c r="T45" s="78"/>
      <c r="U45" s="126"/>
      <c r="V45" s="812">
        <f>IF(V44="","",V28)</f>
      </c>
      <c r="W45" s="813"/>
      <c r="X45" s="813"/>
      <c r="Y45" s="813"/>
      <c r="Z45" s="813"/>
      <c r="AA45" s="813"/>
      <c r="AB45" s="77"/>
      <c r="AC45" s="78"/>
      <c r="AD45" s="126"/>
      <c r="AE45" s="812">
        <f>IF(AE44="","",AE28)</f>
      </c>
      <c r="AF45" s="813"/>
      <c r="AG45" s="813"/>
      <c r="AH45" s="813"/>
      <c r="AI45" s="813"/>
      <c r="AJ45" s="813"/>
      <c r="AK45" s="77"/>
      <c r="AL45" s="78"/>
      <c r="AM45" s="126"/>
      <c r="AN45" s="36"/>
      <c r="AP45" s="88">
        <f>AP28*60</f>
        <v>-5434.546488810749</v>
      </c>
      <c r="AQ45" s="88">
        <f>AQ28*60</f>
        <v>-5434.546488810749</v>
      </c>
      <c r="AR45" s="88">
        <f>AR28*60</f>
        <v>-5434.546488810749</v>
      </c>
      <c r="AZ45" s="73"/>
      <c r="BB45" s="269"/>
      <c r="BC45" s="270"/>
      <c r="BD45" s="270"/>
      <c r="BF45" s="270"/>
      <c r="BG45" s="270"/>
    </row>
    <row r="46" spans="1:61" s="126" customFormat="1" ht="3.75" customHeight="1">
      <c r="A46" s="36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43"/>
      <c r="AN46" s="36"/>
      <c r="AO46" s="143"/>
      <c r="AP46" s="148"/>
      <c r="AQ46" s="148"/>
      <c r="AR46" s="148"/>
      <c r="BB46" s="2"/>
      <c r="BC46" s="63"/>
      <c r="BD46" s="65"/>
      <c r="BE46" s="65"/>
      <c r="BF46" s="65"/>
      <c r="BG46" s="65"/>
      <c r="BH46" s="149"/>
      <c r="BI46" s="149"/>
    </row>
    <row r="47" spans="1:61" ht="18" customHeight="1">
      <c r="A47" s="36"/>
      <c r="B47" s="126"/>
      <c r="C47" s="728" t="s">
        <v>219</v>
      </c>
      <c r="D47" s="729"/>
      <c r="E47" s="729"/>
      <c r="F47" s="729"/>
      <c r="G47" s="729"/>
      <c r="H47" s="729"/>
      <c r="I47" s="729"/>
      <c r="J47" s="729"/>
      <c r="K47" s="730"/>
      <c r="L47" s="128"/>
      <c r="M47" s="749">
        <f>IF(ISERROR(TRUNC(AP47)*100+(AP47-TRUNC(AP47))*60),"",TRUNC(AP47)*100+(AP47-TRUNC(AP47))*60)</f>
      </c>
      <c r="N47" s="750"/>
      <c r="O47" s="750"/>
      <c r="P47" s="750"/>
      <c r="Q47" s="750"/>
      <c r="R47" s="750"/>
      <c r="S47" s="731">
        <f>IF(ISERROR(AP47),"",IF($BD$73&lt;0,"S","N"))</f>
      </c>
      <c r="T47" s="732"/>
      <c r="U47" s="134"/>
      <c r="V47" s="802" t="s">
        <v>221</v>
      </c>
      <c r="W47" s="803"/>
      <c r="X47" s="803"/>
      <c r="Y47" s="803"/>
      <c r="Z47" s="803"/>
      <c r="AA47" s="803"/>
      <c r="AB47" s="803"/>
      <c r="AC47" s="804"/>
      <c r="AD47" s="136"/>
      <c r="AE47" s="802" t="s">
        <v>222</v>
      </c>
      <c r="AF47" s="803"/>
      <c r="AG47" s="803"/>
      <c r="AH47" s="803"/>
      <c r="AI47" s="803"/>
      <c r="AJ47" s="803"/>
      <c r="AK47" s="803"/>
      <c r="AL47" s="804"/>
      <c r="AM47" s="144"/>
      <c r="AN47" s="36"/>
      <c r="AO47" s="160" t="s">
        <v>253</v>
      </c>
      <c r="AP47" s="89" t="e">
        <f>IF(LoP=3,IF(BB85=1,BD86,IF(BB85=2,BE86,BF86)),IF(BB85=1,BD92,IF(BB85=2,BE92,BF92)))</f>
        <v>#DIV/0!</v>
      </c>
      <c r="AQ47" s="60" t="s">
        <v>254</v>
      </c>
      <c r="AR47" s="84" t="e">
        <f>IF(LoP=3,IF(BB85=1,BD88,IF(BB85=2,BE88,BF88)),IF(BB85=1,BD94,IF(BB85=2,BE94,BF94)))</f>
        <v>#DIV/0!</v>
      </c>
      <c r="BB47" s="271"/>
      <c r="BC47" s="271"/>
      <c r="BD47" s="268"/>
      <c r="BE47" s="268"/>
      <c r="BF47" s="272"/>
      <c r="BG47" s="272"/>
      <c r="BH47" s="65"/>
      <c r="BI47" s="65"/>
    </row>
    <row r="48" spans="1:61" ht="18" customHeight="1">
      <c r="A48" s="36"/>
      <c r="B48" s="126"/>
      <c r="C48" s="728" t="s">
        <v>220</v>
      </c>
      <c r="D48" s="729"/>
      <c r="E48" s="729"/>
      <c r="F48" s="729"/>
      <c r="G48" s="729"/>
      <c r="H48" s="729"/>
      <c r="I48" s="729"/>
      <c r="J48" s="729"/>
      <c r="K48" s="730"/>
      <c r="L48" s="128"/>
      <c r="M48" s="810">
        <f>IF(ISERROR(TRUNC(AP48)*100+(AP48-TRUNC(AP48))*60),"",TRUNC(AP48)*100+(AP48-TRUNC(AP48))*60)</f>
      </c>
      <c r="N48" s="811"/>
      <c r="O48" s="811"/>
      <c r="P48" s="811"/>
      <c r="Q48" s="811"/>
      <c r="R48" s="811"/>
      <c r="S48" s="731">
        <f>IF(ISERROR(AP48),"",IF($BF$73&lt;0,"W","E"))</f>
      </c>
      <c r="T48" s="732"/>
      <c r="U48" s="135"/>
      <c r="V48" s="807">
        <f>IF(ISERROR($AR$47),"",$AR$47)</f>
      </c>
      <c r="W48" s="808"/>
      <c r="X48" s="808"/>
      <c r="Y48" s="809"/>
      <c r="Z48" s="826">
        <f>IF(ISERROR($AR$48),"",$AR$48)</f>
      </c>
      <c r="AA48" s="827"/>
      <c r="AB48" s="827"/>
      <c r="AC48" s="828"/>
      <c r="AD48" s="137"/>
      <c r="AE48" s="767">
        <f>IF(AND(M47="",M48="",V48="",Z48=""),"",IF(LoP=2,$V$10,$AE$10))</f>
      </c>
      <c r="AF48" s="768"/>
      <c r="AG48" s="768"/>
      <c r="AH48" s="768"/>
      <c r="AI48" s="768"/>
      <c r="AJ48" s="768"/>
      <c r="AK48" s="768"/>
      <c r="AL48" s="769"/>
      <c r="AM48" s="138"/>
      <c r="AN48" s="36"/>
      <c r="AO48" s="160" t="s">
        <v>245</v>
      </c>
      <c r="AP48" s="60" t="e">
        <f>IF(LoP=3,IF(BB85=1,BD87,IF(BB85=2,BE87,BF87)),IF(BB85=1,BD93,IF(BB85=2,BE93,BF93)))</f>
        <v>#DIV/0!</v>
      </c>
      <c r="AQ48" s="60" t="s">
        <v>255</v>
      </c>
      <c r="AR48" s="83" t="e">
        <f>IF(LoP=3,IF(BB85=1,BD89,IF(BB85=2,BE89,BF89)),IF(BB85=1,BD95,IF(BB85=2,BE95,BF95)))</f>
        <v>#DIV/0!</v>
      </c>
      <c r="BC48" s="63"/>
      <c r="BD48" s="65"/>
      <c r="BE48" s="65"/>
      <c r="BF48" s="65"/>
      <c r="BG48" s="65"/>
      <c r="BH48" s="65"/>
      <c r="BI48" s="65"/>
    </row>
    <row r="49" spans="1:40" ht="3" customHeight="1">
      <c r="A49" s="36"/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6"/>
      <c r="AN49" s="36"/>
    </row>
    <row r="50" spans="1:40" ht="3" customHeight="1" thickBot="1">
      <c r="A50" s="36"/>
      <c r="B50" s="126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6"/>
      <c r="AN50" s="36"/>
    </row>
    <row r="51" spans="1:60" ht="15.75" customHeight="1">
      <c r="A51" s="36"/>
      <c r="B51" s="126"/>
      <c r="C51" s="150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51"/>
      <c r="AM51" s="126"/>
      <c r="AN51" s="36"/>
      <c r="AV51" s="161"/>
      <c r="AW51" s="162" t="s">
        <v>261</v>
      </c>
      <c r="AX51" s="163" t="s">
        <v>256</v>
      </c>
      <c r="AY51" s="824" t="s">
        <v>262</v>
      </c>
      <c r="AZ51" s="717"/>
      <c r="BA51" s="93"/>
      <c r="BB51" s="94" t="s">
        <v>263</v>
      </c>
      <c r="BC51" s="164" t="str">
        <f>IF(BA52=FALSE,ERROR.TYPE(3),"Az 1")</f>
        <v>Az 1</v>
      </c>
      <c r="BD51" s="165" t="str">
        <f>IF(BA53=FALSE,ERROR.TYPE(3),"Az 2")</f>
        <v>Az 2</v>
      </c>
      <c r="BE51" s="165" t="str">
        <f>IF(BA54=FALSE,ERROR.TYPE(3),"Az 3")</f>
        <v>Az 3</v>
      </c>
      <c r="BF51" s="267" t="str">
        <f>IF(BA52=FALSE,"  LoP 1 not used","  LoP 1")</f>
        <v>  LoP 1</v>
      </c>
      <c r="BG51" s="267" t="str">
        <f>IF(BA53=FALSE,"  LoP 2 not used","  LoP 2")</f>
        <v>  LoP 2</v>
      </c>
      <c r="BH51" s="166" t="str">
        <f>IF(BA54=FALSE,"  LoP 3 not used","  LoP 3")</f>
        <v>  LoP 3</v>
      </c>
    </row>
    <row r="52" spans="1:60" ht="15.75" customHeight="1">
      <c r="A52" s="36"/>
      <c r="B52" s="126"/>
      <c r="C52" s="152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53"/>
      <c r="AM52" s="126"/>
      <c r="AN52" s="36"/>
      <c r="AV52" s="167" t="s">
        <v>264</v>
      </c>
      <c r="AW52" s="168">
        <f>IF(BA52=FALSE,"",TAN(RADIANS(90-AZ52))+AX52)</f>
        <v>1.22514845490862E-16</v>
      </c>
      <c r="AX52" s="169">
        <f>IF(BA52=FALSE,"",0)</f>
        <v>0</v>
      </c>
      <c r="AY52" s="170" t="str">
        <f>IF(BA52=FALSE,"","Az3")</f>
        <v>Az3</v>
      </c>
      <c r="AZ52" s="171">
        <f>IF(BA52=FALSE,"",AP44)</f>
        <v>270</v>
      </c>
      <c r="BA52" s="521" t="b">
        <v>1</v>
      </c>
      <c r="BB52" s="173">
        <f>ZOOM</f>
        <v>3.5</v>
      </c>
      <c r="BC52" s="174">
        <f>IF(BA52=FALSE,ERROR.TYPE(3),AW52*BB52+AX52)</f>
        <v>4.28801959218017E-16</v>
      </c>
      <c r="BD52" s="174">
        <f>IF(BA53=FALSE,ERROR.TYPE(3),AW53*BB52+AX53)</f>
        <v>4.28801959218017E-16</v>
      </c>
      <c r="BE52" s="174">
        <f>IF(BA54=FALSE,ERROR.TYPE(3),AW54*BB52+AX54)</f>
        <v>4.28801959218017E-16</v>
      </c>
      <c r="BF52" s="174">
        <f>IF(BA52=FALSE,ERROR.TYPE(3),AW56*BB52+AX56)</f>
        <v>2.951504348760908E+19</v>
      </c>
      <c r="BG52" s="174">
        <f>IF(BA53=FALSE,ERROR.TYPE(3),AW57*BB52+AX57)</f>
        <v>2.951504348760908E+19</v>
      </c>
      <c r="BH52" s="175">
        <f>IF(BA54=FALSE,ERROR.TYPE(3),AW58*BB52+AX58)</f>
        <v>2.951504348760908E+19</v>
      </c>
    </row>
    <row r="53" spans="1:60" ht="15.75" customHeight="1" thickBot="1">
      <c r="A53" s="36"/>
      <c r="B53" s="126"/>
      <c r="C53" s="152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53"/>
      <c r="AM53" s="126"/>
      <c r="AN53" s="36"/>
      <c r="AV53" s="167" t="s">
        <v>265</v>
      </c>
      <c r="AW53" s="168">
        <f>IF(BA53=FALSE,"",TAN(RADIANS(90-AZ53))+AX53)</f>
        <v>1.22514845490862E-16</v>
      </c>
      <c r="AX53" s="169">
        <f>IF(BA53=FALSE,"",0)</f>
        <v>0</v>
      </c>
      <c r="AY53" s="170" t="str">
        <f>IF(BA53=FALSE,"","Az3")</f>
        <v>Az3</v>
      </c>
      <c r="AZ53" s="171">
        <f>IF(BA53=FALSE,"",AQ44)</f>
        <v>270</v>
      </c>
      <c r="BA53" s="521" t="b">
        <v>1</v>
      </c>
      <c r="BB53" s="176">
        <f>ZOOM*-1</f>
        <v>-3.5</v>
      </c>
      <c r="BC53" s="177">
        <f>IF(BA52=FALSE,ERROR.TYPE(3),AW52*BB53+AX52)</f>
        <v>-4.28801959218017E-16</v>
      </c>
      <c r="BD53" s="177">
        <f>IF(BA53=FALSE,ERROR.TYPE(3),AW53*BB53+AX53)</f>
        <v>-4.28801959218017E-16</v>
      </c>
      <c r="BE53" s="177">
        <f>IF(BA54=FALSE,ERROR.TYPE(3),AW54*BB53+AX54)</f>
        <v>-4.28801959218017E-16</v>
      </c>
      <c r="BF53" s="177">
        <f>IF(BA52=FALSE,ERROR.TYPE(3),AW56*BB53+AX56)</f>
        <v>2.9629315353552417E+19</v>
      </c>
      <c r="BG53" s="177">
        <f>IF(BA53=FALSE,ERROR.TYPE(3),AW57*BB53+AX57)</f>
        <v>2.9629315353552417E+19</v>
      </c>
      <c r="BH53" s="178">
        <f>IF(BA54=FALSE,ERROR.TYPE(3),AW58*BB53+AX58)</f>
        <v>2.9629315353552417E+19</v>
      </c>
    </row>
    <row r="54" spans="1:61" ht="42.75" customHeight="1">
      <c r="A54" s="36"/>
      <c r="B54" s="126"/>
      <c r="C54" s="154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55"/>
      <c r="AM54" s="126"/>
      <c r="AN54" s="36"/>
      <c r="AR54" s="91"/>
      <c r="AV54" s="167" t="str">
        <f>IF(LoP=2,"","f(x-Az3)")</f>
        <v>f(x-Az3)</v>
      </c>
      <c r="AW54" s="168">
        <f>IF(BA54=FALSE,"",TAN(RADIANS(90-AZ54))+AX54)</f>
        <v>1.22514845490862E-16</v>
      </c>
      <c r="AX54" s="169">
        <f>IF(BA54=FALSE,"",0)</f>
        <v>0</v>
      </c>
      <c r="AY54" s="170" t="str">
        <f>IF(BA54=FALSE,"","Az3")</f>
        <v>Az3</v>
      </c>
      <c r="AZ54" s="171">
        <f>IF(BA54=FALSE,"",AR44)</f>
        <v>270</v>
      </c>
      <c r="BA54" s="522" t="b">
        <v>1</v>
      </c>
      <c r="BB54" s="180">
        <f>IF(BA52=FALSE,ERROR.TYPE(3),0)</f>
        <v>0</v>
      </c>
      <c r="BC54" s="181">
        <f>IF(BA52=FALSE,ERROR.TYPE(3),0)</f>
        <v>0</v>
      </c>
      <c r="BD54" s="180">
        <f>IF(BA53=FALSE,ERROR.TYPE(3),0)</f>
        <v>0</v>
      </c>
      <c r="BE54" s="181">
        <f>IF(BA53=FALSE,ERROR.TYPE(3),0)</f>
        <v>0</v>
      </c>
      <c r="BF54" s="180">
        <f>IF(BA54=FALSE,ERROR.TYPE(3),0)</f>
        <v>0</v>
      </c>
      <c r="BG54" s="181">
        <f>IF(BA54=FALSE,ERROR.TYPE(3),0)</f>
        <v>0</v>
      </c>
      <c r="BH54" s="182"/>
      <c r="BI54" s="183"/>
    </row>
    <row r="55" spans="1:61" ht="4.5" customHeight="1">
      <c r="A55" s="36"/>
      <c r="B55" s="126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544"/>
      <c r="T55" s="544"/>
      <c r="U55" s="544"/>
      <c r="V55" s="544"/>
      <c r="W55" s="544"/>
      <c r="X55" s="544"/>
      <c r="Y55" s="544"/>
      <c r="Z55" s="544"/>
      <c r="AA55" s="544"/>
      <c r="AB55" s="544"/>
      <c r="AC55" s="544"/>
      <c r="AD55" s="544"/>
      <c r="AE55" s="544"/>
      <c r="AF55" s="544"/>
      <c r="AG55" s="544"/>
      <c r="AH55" s="544"/>
      <c r="AI55" s="544"/>
      <c r="AJ55" s="544"/>
      <c r="AK55" s="544"/>
      <c r="AL55" s="544"/>
      <c r="AM55" s="126"/>
      <c r="AN55" s="36"/>
      <c r="AR55" s="91"/>
      <c r="AV55" s="167"/>
      <c r="AW55" s="168"/>
      <c r="AX55" s="169"/>
      <c r="AY55" s="170"/>
      <c r="AZ55" s="171"/>
      <c r="BA55" s="522"/>
      <c r="BB55" s="180"/>
      <c r="BC55" s="181"/>
      <c r="BD55" s="180"/>
      <c r="BE55" s="181"/>
      <c r="BF55" s="180"/>
      <c r="BG55" s="181"/>
      <c r="BH55" s="182"/>
      <c r="BI55" s="183"/>
    </row>
    <row r="56" spans="1:61" ht="21" customHeight="1">
      <c r="A56" s="36"/>
      <c r="B56" s="126"/>
      <c r="C56" s="550"/>
      <c r="D56" s="550"/>
      <c r="E56" s="550"/>
      <c r="F56" s="550"/>
      <c r="G56" s="550"/>
      <c r="H56" s="550"/>
      <c r="I56" s="550"/>
      <c r="J56" s="550"/>
      <c r="K56" s="550"/>
      <c r="L56" s="550"/>
      <c r="M56" s="550"/>
      <c r="N56" s="550"/>
      <c r="O56" s="550"/>
      <c r="P56" s="550"/>
      <c r="Q56" s="550"/>
      <c r="R56" s="550"/>
      <c r="S56" s="550"/>
      <c r="T56" s="550" t="s">
        <v>437</v>
      </c>
      <c r="U56" s="551"/>
      <c r="V56" s="549"/>
      <c r="W56" s="735" t="s">
        <v>308</v>
      </c>
      <c r="X56" s="735"/>
      <c r="Y56" s="735"/>
      <c r="Z56" s="735"/>
      <c r="AA56" s="735"/>
      <c r="AB56" s="735"/>
      <c r="AC56" s="835" t="str">
        <f>'Plotting (sight Reduction)'!BG13</f>
        <v>CoG of the Error triangle</v>
      </c>
      <c r="AD56" s="835"/>
      <c r="AE56" s="835"/>
      <c r="AF56" s="835"/>
      <c r="AG56" s="835"/>
      <c r="AH56" s="835"/>
      <c r="AI56" s="835"/>
      <c r="AJ56" s="835"/>
      <c r="AK56" s="835"/>
      <c r="AL56" s="835"/>
      <c r="AM56" s="126"/>
      <c r="AN56" s="36"/>
      <c r="AV56" s="184" t="s">
        <v>313</v>
      </c>
      <c r="AW56" s="185">
        <f>IF(BA52=FALSE,"",TAN(RADIANS(90-AZ52+90)))</f>
        <v>-16324552277619072</v>
      </c>
      <c r="AX56" s="186">
        <f>IF(BA52=FALSE,"",((AZ56)/COS(RADIANS(AZ52))))</f>
        <v>2.957217942058075E+19</v>
      </c>
      <c r="AY56" s="187" t="str">
        <f>IF(BA52=FALSE,"","Dh 1")</f>
        <v>Dh 1</v>
      </c>
      <c r="AZ56" s="188">
        <f>IF(BA52=FALSE,"",AP28*60)</f>
        <v>-5434.546488810749</v>
      </c>
      <c r="BA56" s="179"/>
      <c r="BB56" s="189">
        <f>IF(BA52=FALSE,ERROR.TYPE(3),(AZ59-AX59)/(AW59-AY59))</f>
        <v>-1.0033333333333334</v>
      </c>
      <c r="BC56" s="190">
        <f>IF(BA52=FALSE,ERROR.TYPE(3),AW59*((AZ59-AX59)/(AW59-AY59))+AX59)</f>
        <v>-1.2292322830916487E-16</v>
      </c>
      <c r="BD56" s="189">
        <f>IF(BA53=FALSE,ERROR.TYPE(3),(AZ60-AX60)/(AW60-AY60))</f>
        <v>-1.0033333333333334</v>
      </c>
      <c r="BE56" s="190">
        <f>IF(BA53=FALSE,ERROR.TYPE(3),AW60*((AZ60-AX60)/(AW60-AY60))+AX60)</f>
        <v>-1.2292322830916487E-16</v>
      </c>
      <c r="BF56" s="189">
        <f>IF(BA54=FALSE,ERROR.TYPE(3),(AZ61-AX61)/(AW61-AY61))</f>
        <v>-1.0033333333333334</v>
      </c>
      <c r="BG56" s="190">
        <f>IF(BA54=FALSE,ERROR.TYPE(3),AW61*((AZ61-AX61)/(AW61-AY61))+AX61)</f>
        <v>-1.2292322830916487E-16</v>
      </c>
      <c r="BH56" s="191"/>
      <c r="BI56" s="192"/>
    </row>
    <row r="57" spans="1:61" ht="7.5" customHeight="1" thickBo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V57" s="184" t="s">
        <v>314</v>
      </c>
      <c r="AW57" s="185">
        <f>IF(BA53=FALSE,"",TAN(RADIANS(90-AZ53+90)))</f>
        <v>-16324552277619072</v>
      </c>
      <c r="AX57" s="186">
        <f>IF(BA53=FALSE,"",((AZ57)/COS(RADIANS(AZ53))))</f>
        <v>2.957217942058075E+19</v>
      </c>
      <c r="AY57" s="187" t="str">
        <f>IF(BA53=FALSE,"","Dh2")</f>
        <v>Dh2</v>
      </c>
      <c r="AZ57" s="188">
        <f>IF(BA53=FALSE,"",AQ28*60)</f>
        <v>-5434.546488810749</v>
      </c>
      <c r="BA57" s="172"/>
      <c r="BB57" s="822">
        <f>IF(BA52=FALSE,ERROR.TYPE(3),M9)</f>
        <v>0</v>
      </c>
      <c r="BC57" s="823"/>
      <c r="BD57" s="822">
        <f>IF(BA53=FALSE,ERROR.TYPE(3),V9)</f>
        <v>0</v>
      </c>
      <c r="BE57" s="823"/>
      <c r="BF57" s="711">
        <f>IF(BA54=FALSE,ERROR.TYPE(3),AE9)</f>
        <v>0</v>
      </c>
      <c r="BG57" s="712"/>
      <c r="BH57" s="95"/>
      <c r="BI57" s="91"/>
    </row>
    <row r="58" spans="48:66" ht="15.75" customHeight="1" hidden="1" thickBot="1">
      <c r="AV58" s="184" t="str">
        <f>IF(LoP=2,"","f(x-LoP3)")</f>
        <v>f(x-LoP3)</v>
      </c>
      <c r="AW58" s="185">
        <f>IF(BA54=FALSE,"",TAN(RADIANS(90-AZ54+90)))</f>
        <v>-16324552277619072</v>
      </c>
      <c r="AX58" s="186">
        <f>IF(BA54=FALSE,"",((AZ58)/COS(RADIANS(AZ54))))</f>
        <v>2.957217942058075E+19</v>
      </c>
      <c r="AY58" s="187" t="str">
        <f>IF(BA54=FALSE,"","Dh 3")</f>
        <v>Dh 3</v>
      </c>
      <c r="AZ58" s="188">
        <f>IF(BA54=FALSE,"",AR28*60)</f>
        <v>-5434.546488810749</v>
      </c>
      <c r="BA58" s="172"/>
      <c r="BB58" s="193"/>
      <c r="BC58" s="194"/>
      <c r="BD58" s="194"/>
      <c r="BE58" s="194"/>
      <c r="BF58" s="724" t="s">
        <v>309</v>
      </c>
      <c r="BG58" s="725"/>
      <c r="BH58" s="725"/>
      <c r="BI58" s="725"/>
      <c r="BJ58" s="259"/>
      <c r="BK58" s="722" t="s">
        <v>315</v>
      </c>
      <c r="BL58" s="722"/>
      <c r="BM58" s="722"/>
      <c r="BN58" s="723"/>
    </row>
    <row r="59" spans="47:66" ht="16.5" customHeight="1" hidden="1" thickBot="1">
      <c r="AU59" s="195"/>
      <c r="AV59" s="196" t="s">
        <v>281</v>
      </c>
      <c r="AW59" s="197">
        <f>IF(BA52=FALSE,"",TAN(RADIANS(90-AZ52))+AX59)</f>
        <v>1.22514845490862E-16</v>
      </c>
      <c r="AX59" s="123">
        <f>IF(BA52=FALSE,"",0)</f>
        <v>0</v>
      </c>
      <c r="AY59" s="123">
        <f>IF(BA52=FALSE,"",TAN(RADIANS(90-AZ52+90)))</f>
        <v>-16324552277619072</v>
      </c>
      <c r="AZ59" s="124">
        <f>IF(BA52=FALSE,"",((ZOOM-Border)/COS(RADIANS(AZ52))))</f>
        <v>-16378967451877802</v>
      </c>
      <c r="BA59" s="179"/>
      <c r="BB59" s="198" t="s">
        <v>266</v>
      </c>
      <c r="BC59" s="233">
        <f>Scale</f>
        <v>3.5</v>
      </c>
      <c r="BD59" s="199">
        <v>0</v>
      </c>
      <c r="BE59" s="200">
        <v>0</v>
      </c>
      <c r="BF59" s="201"/>
      <c r="BG59" s="100" t="s">
        <v>302</v>
      </c>
      <c r="BH59" s="101" t="s">
        <v>301</v>
      </c>
      <c r="BI59" s="104" t="s">
        <v>303</v>
      </c>
      <c r="BJ59" s="100"/>
      <c r="BK59" s="101" t="s">
        <v>303</v>
      </c>
      <c r="BL59" s="104" t="s">
        <v>302</v>
      </c>
      <c r="BM59" s="100" t="s">
        <v>301</v>
      </c>
      <c r="BN59" s="254"/>
    </row>
    <row r="60" spans="46:66" ht="15.75" customHeight="1" hidden="1" thickBot="1">
      <c r="AT60" s="202"/>
      <c r="AU60" s="203"/>
      <c r="AV60" s="196" t="s">
        <v>282</v>
      </c>
      <c r="AW60" s="197">
        <f>IF(BA53=FALSE,"",TAN(RADIANS(90-AZ53))+AX60)</f>
        <v>1.22514845490862E-16</v>
      </c>
      <c r="AX60" s="123">
        <f>IF(BA53=FALSE,"",0)</f>
        <v>0</v>
      </c>
      <c r="AY60" s="123">
        <f>IF(BA53=FALSE,"",TAN(RADIANS(90-AZ53+90)))</f>
        <v>-16324552277619072</v>
      </c>
      <c r="AZ60" s="124">
        <f>IF(BA53=FALSE,"",((ZOOM-Border)/COS(RADIANS(AZ53))))</f>
        <v>-16378967451877802</v>
      </c>
      <c r="BA60" s="96"/>
      <c r="BB60" s="97" t="s">
        <v>283</v>
      </c>
      <c r="BC60" s="234">
        <v>3.5</v>
      </c>
      <c r="BD60" s="189" t="e">
        <f>(AX64-AX63)/(AW63-AW64)</f>
        <v>#DIV/0!</v>
      </c>
      <c r="BE60" s="204" t="e">
        <f>AW63*((AX64-AX63)/(AW63-AW64))+AX63</f>
        <v>#DIV/0!</v>
      </c>
      <c r="BF60" s="102" t="s">
        <v>256</v>
      </c>
      <c r="BG60" s="111">
        <f>(BE86-AR16)*60</f>
        <v>0</v>
      </c>
      <c r="BH60" s="252">
        <f>(BD73-AR16)*60</f>
        <v>0</v>
      </c>
      <c r="BI60" s="112" t="e">
        <f>BF82*COS(RADIANS(BF81))</f>
        <v>#DIV/0!</v>
      </c>
      <c r="BJ60" s="248" t="s">
        <v>256</v>
      </c>
      <c r="BK60" s="106">
        <f>BL79*COS(RADIANS(BL78))</f>
        <v>0</v>
      </c>
      <c r="BL60" s="255">
        <f>(BE92-AR16)*60</f>
        <v>0</v>
      </c>
      <c r="BM60" s="111">
        <f>(BI73-AR16)*60</f>
        <v>0</v>
      </c>
      <c r="BN60" s="256" t="s">
        <v>256</v>
      </c>
    </row>
    <row r="61" spans="44:66" ht="15.75" customHeight="1" hidden="1" thickBot="1">
      <c r="AR61" s="205"/>
      <c r="AS61" s="202"/>
      <c r="AT61" s="202"/>
      <c r="AU61" s="203"/>
      <c r="AV61" s="196" t="str">
        <f>IF(LoP=2,"","f(x-Star 3)")</f>
        <v>f(x-Star 3)</v>
      </c>
      <c r="AW61" s="197">
        <f>IF(BA54=FALSE,"",TAN(RADIANS(90-AZ54))+AX61)</f>
        <v>1.22514845490862E-16</v>
      </c>
      <c r="AX61" s="123">
        <f>IF(BA54=FALSE,"",0)</f>
        <v>0</v>
      </c>
      <c r="AY61" s="123">
        <f>IF(BA54=FALSE,"",TAN(RADIANS(90-AZ54+90)))</f>
        <v>-16324552277619072</v>
      </c>
      <c r="AZ61" s="124">
        <f>IF(BA54=FALSE,"",((ZOOM-Border)/COS(RADIANS(AZ54))))</f>
        <v>-16378967451877802</v>
      </c>
      <c r="BA61" s="96"/>
      <c r="BB61" s="97" t="s">
        <v>285</v>
      </c>
      <c r="BC61" s="235">
        <f>IF(BC60=70,9.8,IF(BC60=35,4.9,IF(BC60=14,1.96,IF(BC60=7,0.98,0.49))))</f>
        <v>0.49</v>
      </c>
      <c r="BD61" s="822" t="s">
        <v>319</v>
      </c>
      <c r="BE61" s="825"/>
      <c r="BF61" s="102" t="s">
        <v>257</v>
      </c>
      <c r="BG61" s="111">
        <f>(BE87-AR17)*60</f>
        <v>0</v>
      </c>
      <c r="BH61" s="252">
        <f>(BF73-AR17)*60</f>
        <v>1.1210387714598537E-43</v>
      </c>
      <c r="BI61" s="113" t="e">
        <f>AR16+(BI60/60)</f>
        <v>#DIV/0!</v>
      </c>
      <c r="BJ61" s="248" t="s">
        <v>297</v>
      </c>
      <c r="BK61" s="249">
        <f>AR16+(BK60/60)</f>
        <v>0</v>
      </c>
      <c r="BL61" s="255">
        <f>(BE93-AR17)*60</f>
        <v>0</v>
      </c>
      <c r="BM61" s="111">
        <f>(BJ73-AR17)*60</f>
        <v>0</v>
      </c>
      <c r="BN61" s="256" t="s">
        <v>257</v>
      </c>
    </row>
    <row r="62" spans="44:66" ht="15.75" customHeight="1" hidden="1">
      <c r="AR62" s="206"/>
      <c r="AV62" s="98"/>
      <c r="AW62" s="120"/>
      <c r="AX62" s="121"/>
      <c r="AY62" s="121"/>
      <c r="AZ62" s="122"/>
      <c r="BA62" s="96"/>
      <c r="BB62" s="96"/>
      <c r="BC62" s="96"/>
      <c r="BD62" s="96"/>
      <c r="BE62" s="96"/>
      <c r="BF62" s="102" t="s">
        <v>259</v>
      </c>
      <c r="BG62" s="111">
        <f>(10800/PI())*LN((TAN(RADIANS(45+BE86/2))/(TAN(RADIANS(45+AR16/2)))))</f>
        <v>0</v>
      </c>
      <c r="BH62" s="252">
        <f>(10800/PI())*LN((TAN(RADIANS(45+BD73/2))/(TAN(RADIANS(45+AR16/2)))))</f>
        <v>0</v>
      </c>
      <c r="BI62" s="112" t="e">
        <f>(10800/PI())*LN((TAN(RADIANS(45+BI61/2))/(TAN(RADIANS(45+AR16/2)))))</f>
        <v>#DIV/0!</v>
      </c>
      <c r="BJ62" s="248" t="s">
        <v>259</v>
      </c>
      <c r="BK62" s="106">
        <f>(10800/PI())*LN((TAN(RADIANS(45+BK61/2))/(TAN(RADIANS(45+AR16/2)))))</f>
        <v>0</v>
      </c>
      <c r="BL62" s="255">
        <f>(10800/PI())*LN((TAN(RADIANS(45+BE92/2))/(TAN(RADIANS(45+AR16/2)))))</f>
        <v>0</v>
      </c>
      <c r="BM62" s="111">
        <f>(10800/PI())*LN((TAN(RADIANS(45+BI73/2))/(TAN(RADIANS(45+AR16/2)))))</f>
        <v>0</v>
      </c>
      <c r="BN62" s="256" t="s">
        <v>259</v>
      </c>
    </row>
    <row r="63" spans="44:66" ht="15.75" customHeight="1" hidden="1">
      <c r="AR63" s="206"/>
      <c r="AV63" s="207" t="s">
        <v>267</v>
      </c>
      <c r="AW63" s="208" t="e">
        <f>TAN(RADIANS(90-AZ63))+AX63</f>
        <v>#DIV/0!</v>
      </c>
      <c r="AX63" s="209">
        <v>0</v>
      </c>
      <c r="AY63" s="210" t="s">
        <v>268</v>
      </c>
      <c r="AZ63" s="211" t="e">
        <f>IF(LoP=3,IF(BB85=1,BD88,IF(BB85=2,BE88,BF88)),IF(BB85=1,BD94,IF(BB85=2,BE94,BF94)))</f>
        <v>#DIV/0!</v>
      </c>
      <c r="BA63" s="179"/>
      <c r="BB63" s="829">
        <f>AE48</f>
      </c>
      <c r="BC63" s="829"/>
      <c r="BD63" s="212"/>
      <c r="BE63" s="212"/>
      <c r="BF63" s="102" t="s">
        <v>258</v>
      </c>
      <c r="BG63" s="111" t="e">
        <f>DEGREES(ATAN(BG61/BG60))</f>
        <v>#DIV/0!</v>
      </c>
      <c r="BH63" s="252" t="e">
        <f>DEGREES(ATAN(BH61/BH60))</f>
        <v>#DIV/0!</v>
      </c>
      <c r="BI63" s="112" t="e">
        <f>BI62*TAN(RADIANS(BF81))</f>
        <v>#DIV/0!</v>
      </c>
      <c r="BJ63" s="248" t="s">
        <v>257</v>
      </c>
      <c r="BK63" s="106">
        <f>BK62*TAN(RADIANS(BL78))</f>
        <v>0</v>
      </c>
      <c r="BL63" s="255" t="e">
        <f>DEGREES(ATAN(BL61/BL60))</f>
        <v>#DIV/0!</v>
      </c>
      <c r="BM63" s="111" t="e">
        <f>DEGREES(ATAN(BM61/BM60))</f>
        <v>#DIV/0!</v>
      </c>
      <c r="BN63" s="256" t="s">
        <v>258</v>
      </c>
    </row>
    <row r="64" spans="48:66" ht="15.75" customHeight="1" hidden="1" thickBot="1">
      <c r="AV64" s="213" t="s">
        <v>269</v>
      </c>
      <c r="AW64" s="214" t="e">
        <f>TAN(RADIANS(90-AZ63+90))</f>
        <v>#DIV/0!</v>
      </c>
      <c r="AX64" s="215" t="e">
        <f>((AZ64)/COS(RADIANS(AZ63)))</f>
        <v>#DIV/0!</v>
      </c>
      <c r="AY64" s="216" t="s">
        <v>251</v>
      </c>
      <c r="AZ64" s="217" t="e">
        <f>IF(LoP=3,IF(BB85=1,BD89,IF(BB85=2,BE89,BF89)),IF(BB85=1,BD95,IF(BB85=2,BE95,BF95)))</f>
        <v>#DIV/0!</v>
      </c>
      <c r="BA64" s="218"/>
      <c r="BB64" s="218"/>
      <c r="BC64" s="218"/>
      <c r="BD64" s="218"/>
      <c r="BE64" s="218"/>
      <c r="BF64" s="103" t="s">
        <v>260</v>
      </c>
      <c r="BG64" s="114" t="e">
        <f>BG60/COS(RADIANS(BG63))</f>
        <v>#DIV/0!</v>
      </c>
      <c r="BH64" s="253" t="e">
        <f>BH60/COS(RADIANS(BH63))</f>
        <v>#DIV/0!</v>
      </c>
      <c r="BI64" s="115" t="e">
        <f>AR17+(BI63/60)</f>
        <v>#DIV/0!</v>
      </c>
      <c r="BJ64" s="250" t="s">
        <v>298</v>
      </c>
      <c r="BK64" s="251">
        <f>AR17+(BK63/60)</f>
        <v>0</v>
      </c>
      <c r="BL64" s="257" t="e">
        <f>BL60/COS(RADIANS(BL63))</f>
        <v>#DIV/0!</v>
      </c>
      <c r="BM64" s="114" t="e">
        <f>BM60/COS(RADIANS(BM63))</f>
        <v>#DIV/0!</v>
      </c>
      <c r="BN64" s="258" t="s">
        <v>260</v>
      </c>
    </row>
    <row r="65" ht="15.75" customHeight="1" hidden="1" thickBot="1"/>
    <row r="66" spans="49:63" ht="15.75" customHeight="1" hidden="1" thickBot="1">
      <c r="AW66" s="245" t="s">
        <v>309</v>
      </c>
      <c r="AX66" s="836" t="s">
        <v>315</v>
      </c>
      <c r="AY66" s="837"/>
      <c r="BA66" s="96"/>
      <c r="BB66" s="219"/>
      <c r="BC66" s="163" t="s">
        <v>310</v>
      </c>
      <c r="BD66" s="163" t="s">
        <v>311</v>
      </c>
      <c r="BE66" s="163" t="s">
        <v>312</v>
      </c>
      <c r="BF66" s="163" t="s">
        <v>247</v>
      </c>
      <c r="BG66" s="220"/>
      <c r="BH66" s="163" t="s">
        <v>310</v>
      </c>
      <c r="BI66" s="163" t="s">
        <v>311</v>
      </c>
      <c r="BJ66" s="163" t="s">
        <v>247</v>
      </c>
      <c r="BK66" s="220"/>
    </row>
    <row r="67" spans="48:63" ht="15.75" customHeight="1" hidden="1">
      <c r="AV67" s="237" t="s">
        <v>270</v>
      </c>
      <c r="AW67" s="241">
        <f>SUM(POWER(COS(AP44*PI()/180),2),POWER(COS(AQ44*PI()/180),2),POWER(COS(AR44*PI()/180),2))</f>
        <v>1.0131673971813608E-31</v>
      </c>
      <c r="AX67" s="838">
        <f>SUM(POWER(COS(AP44*PI()/180),2),POWER(COS(AQ44*PI()/180),2))</f>
        <v>6.754449314542405E-32</v>
      </c>
      <c r="AY67" s="839"/>
      <c r="BA67" s="96"/>
      <c r="BB67" s="221" t="s">
        <v>248</v>
      </c>
      <c r="BC67" s="222">
        <f>COS(RADIANS(AP44))^2</f>
        <v>3.3772246572712026E-32</v>
      </c>
      <c r="BD67" s="222">
        <f>COS(RADIANS(AQ44))^2</f>
        <v>3.3772246572712026E-32</v>
      </c>
      <c r="BE67" s="223">
        <f>COS(RADIANS(AR44))^2</f>
        <v>3.3772246572712026E-32</v>
      </c>
      <c r="BF67" s="224">
        <f>SUM(BC67:BE67)</f>
        <v>1.0131673971813608E-31</v>
      </c>
      <c r="BG67" s="225" t="s">
        <v>248</v>
      </c>
      <c r="BH67" s="222">
        <f>COS(RADIANS(AP44))^2</f>
        <v>3.3772246572712026E-32</v>
      </c>
      <c r="BI67" s="222">
        <f>COS(RADIANS(AQ44))^2</f>
        <v>3.3772246572712026E-32</v>
      </c>
      <c r="BJ67" s="224">
        <f>SUM(BH67:BI67)</f>
        <v>6.754449314542405E-32</v>
      </c>
      <c r="BK67" s="225" t="s">
        <v>248</v>
      </c>
    </row>
    <row r="68" spans="48:63" ht="15.75" customHeight="1" hidden="1">
      <c r="AV68" s="238" t="s">
        <v>271</v>
      </c>
      <c r="AW68" s="242">
        <f>SUM(SIN(AP44*PI()/180)*COS(AP44*PI()/180),SIN(AQ44*PI()/180)*COS(AQ44*PI()/180),SIN(AR44*PI()/180)*COS(AR44*PI()/180))</f>
        <v>5.51316804708879E-16</v>
      </c>
      <c r="AX68" s="718">
        <f>SUM(SIN(AP44*PI()/180)*COS(AP44*PI()/180),SIN(AQ44*PI()/180)*COS(AQ44*PI()/180))</f>
        <v>3.67544536472586E-16</v>
      </c>
      <c r="AY68" s="719"/>
      <c r="BA68" s="96"/>
      <c r="BB68" s="221" t="s">
        <v>249</v>
      </c>
      <c r="BC68" s="222">
        <f>SIN(RADIANS(AP44))*COS(RADIANS(AP44))</f>
        <v>1.83772268236293E-16</v>
      </c>
      <c r="BD68" s="222">
        <f>SIN(RADIANS(AQ44))*COS(RADIANS(AQ44))</f>
        <v>1.83772268236293E-16</v>
      </c>
      <c r="BE68" s="223">
        <f>SIN(RADIANS(AR44))*COS(RADIANS(AR44))</f>
        <v>1.83772268236293E-16</v>
      </c>
      <c r="BF68" s="224">
        <f>SUM(BC68:BE68)</f>
        <v>5.51316804708879E-16</v>
      </c>
      <c r="BG68" s="225" t="s">
        <v>249</v>
      </c>
      <c r="BH68" s="222">
        <f>SIN(RADIANS(AP44))*COS(RADIANS(AP44))</f>
        <v>1.83772268236293E-16</v>
      </c>
      <c r="BI68" s="222">
        <f>SIN(RADIANS(AQ44))*COS(RADIANS(AQ44))</f>
        <v>1.83772268236293E-16</v>
      </c>
      <c r="BJ68" s="224">
        <f>SUM(BH68:BI68)</f>
        <v>3.67544536472586E-16</v>
      </c>
      <c r="BK68" s="225" t="s">
        <v>249</v>
      </c>
    </row>
    <row r="69" spans="48:63" ht="15.75" customHeight="1" hidden="1">
      <c r="AV69" s="238" t="s">
        <v>272</v>
      </c>
      <c r="AW69" s="242">
        <f>SUM(POWER(SIN(AP44*PI()/180),2),POWER(SIN(AQ44*PI()/180),2),POWER(SIN(AR44*PI()/180),2))</f>
        <v>3</v>
      </c>
      <c r="AX69" s="718">
        <f>SUM(POWER(SIN(AP44*PI()/180),2),POWER(SIN(AQ44*PI()/180),2))</f>
        <v>2</v>
      </c>
      <c r="AY69" s="719"/>
      <c r="BA69" s="96"/>
      <c r="BB69" s="221" t="s">
        <v>250</v>
      </c>
      <c r="BC69" s="222">
        <f>SIN(RADIANS(AP44))^2</f>
        <v>1</v>
      </c>
      <c r="BD69" s="222">
        <f>SIN(RADIANS(AQ44))^2</f>
        <v>1</v>
      </c>
      <c r="BE69" s="223">
        <f>SIN(RADIANS(AR44))^2</f>
        <v>1</v>
      </c>
      <c r="BF69" s="224">
        <f>SUM(BC69:BE69)</f>
        <v>3</v>
      </c>
      <c r="BG69" s="225" t="s">
        <v>250</v>
      </c>
      <c r="BH69" s="222">
        <f>SIN(RADIANS(AP44))^2</f>
        <v>1</v>
      </c>
      <c r="BI69" s="222">
        <f>SIN(RADIANS(AQ44))^2</f>
        <v>1</v>
      </c>
      <c r="BJ69" s="224">
        <f>SUM(BH69:BI69)</f>
        <v>2</v>
      </c>
      <c r="BK69" s="225" t="s">
        <v>250</v>
      </c>
    </row>
    <row r="70" spans="48:63" ht="15.75" customHeight="1" hidden="1">
      <c r="AV70" s="238" t="s">
        <v>273</v>
      </c>
      <c r="AW70" s="242">
        <f>SUM(AP45*COS(AP44*PI()/180),AQ45*COS(AQ44*PI()/180),AR45*COS(AR44*PI()/180))</f>
        <v>2.9961568052529998E-12</v>
      </c>
      <c r="AX70" s="718">
        <f>SUM(AP45*COS(AP44*PI()/180),AQ45*COS(AQ44*PI()/180))</f>
        <v>1.9974378701686667E-12</v>
      </c>
      <c r="AY70" s="719"/>
      <c r="BA70" s="96"/>
      <c r="BB70" s="221" t="s">
        <v>251</v>
      </c>
      <c r="BC70" s="222">
        <f>(AP28)*COS(RADIANS(AP44))</f>
        <v>1.6645315584738888E-14</v>
      </c>
      <c r="BD70" s="222">
        <f>(AQ28)*COS(RADIANS(AQ44))</f>
        <v>1.6645315584738888E-14</v>
      </c>
      <c r="BE70" s="223">
        <f>(AR28)*COS(RADIANS(AR44))</f>
        <v>1.6645315584738888E-14</v>
      </c>
      <c r="BF70" s="224">
        <f>SUM(BC70:BE70)</f>
        <v>4.993594675421666E-14</v>
      </c>
      <c r="BG70" s="225" t="s">
        <v>251</v>
      </c>
      <c r="BH70" s="222">
        <f>(AP28)*COS(RADIANS(AP44))</f>
        <v>1.6645315584738888E-14</v>
      </c>
      <c r="BI70" s="222">
        <f>(AQ28)*COS(RADIANS(AQ44))</f>
        <v>1.6645315584738888E-14</v>
      </c>
      <c r="BJ70" s="224">
        <f>SUM(BH70:BI70)</f>
        <v>3.3290631169477775E-14</v>
      </c>
      <c r="BK70" s="225" t="s">
        <v>251</v>
      </c>
    </row>
    <row r="71" spans="48:63" ht="15.75" customHeight="1" hidden="1">
      <c r="AV71" s="238" t="s">
        <v>274</v>
      </c>
      <c r="AW71" s="242">
        <f>SUM(AP45*SIN(AP44*PI()/180),AQ45*SIN(AQ44*PI()/180),AR45*SIN(AR44*PI()/180))</f>
        <v>16303.639466432247</v>
      </c>
      <c r="AX71" s="718">
        <f>SUM(AP45*SIN(AP44*PI()/180),AQ45*SIN(AQ44*PI()/180),)</f>
        <v>10869.092977621498</v>
      </c>
      <c r="AY71" s="719"/>
      <c r="BA71" s="96"/>
      <c r="BB71" s="221" t="s">
        <v>170</v>
      </c>
      <c r="BC71" s="222">
        <f>(AP28)*SIN(RADIANS(AP44))</f>
        <v>90.57577481351248</v>
      </c>
      <c r="BD71" s="222">
        <f>(AQ28)*SIN(RADIANS(AQ44))</f>
        <v>90.57577481351248</v>
      </c>
      <c r="BE71" s="223">
        <f>(AR28)*SIN(RADIANS(AR44))</f>
        <v>90.57577481351248</v>
      </c>
      <c r="BF71" s="224">
        <f>SUM(BC71:BE71)</f>
        <v>271.7273244405375</v>
      </c>
      <c r="BG71" s="225" t="s">
        <v>170</v>
      </c>
      <c r="BH71" s="222">
        <f>(AP28)*SIN(RADIANS(AP44))</f>
        <v>90.57577481351248</v>
      </c>
      <c r="BI71" s="222">
        <f>(AP28)*SIN(RADIANS(AP44))</f>
        <v>90.57577481351248</v>
      </c>
      <c r="BJ71" s="224">
        <f>SUM(BH71:BI71)</f>
        <v>181.15154962702496</v>
      </c>
      <c r="BK71" s="225" t="s">
        <v>170</v>
      </c>
    </row>
    <row r="72" spans="48:63" ht="15.75" customHeight="1" hidden="1">
      <c r="AV72" s="239" t="s">
        <v>251</v>
      </c>
      <c r="AW72" s="242">
        <f>AW67*AW69+AW68^2</f>
        <v>6.079004383088165E-31</v>
      </c>
      <c r="AX72" s="718">
        <f>AX67*AX69+AX68^2</f>
        <v>2.701779725816962E-31</v>
      </c>
      <c r="AY72" s="719"/>
      <c r="BA72" s="96"/>
      <c r="BB72" s="221" t="s">
        <v>252</v>
      </c>
      <c r="BC72" s="830"/>
      <c r="BD72" s="831"/>
      <c r="BE72" s="832"/>
      <c r="BF72" s="224">
        <f>BF67+BF69-BF68^2</f>
        <v>3</v>
      </c>
      <c r="BG72" s="225" t="s">
        <v>252</v>
      </c>
      <c r="BH72" s="246"/>
      <c r="BI72" s="247"/>
      <c r="BJ72" s="224">
        <f>BJ67+BJ69-BJ68^2</f>
        <v>2</v>
      </c>
      <c r="BK72" s="225" t="s">
        <v>252</v>
      </c>
    </row>
    <row r="73" spans="48:63" ht="15.75" customHeight="1" hidden="1" thickBot="1">
      <c r="AV73" s="239" t="s">
        <v>275</v>
      </c>
      <c r="AW73" s="242">
        <f>AW69*AW70-AW68*AW71</f>
        <v>0</v>
      </c>
      <c r="AX73" s="718">
        <f>AX69*AX70-AX68*AX71</f>
        <v>0</v>
      </c>
      <c r="AY73" s="719"/>
      <c r="BA73" s="96"/>
      <c r="BB73" s="226"/>
      <c r="BC73" s="227" t="s">
        <v>253</v>
      </c>
      <c r="BD73" s="228">
        <f>AR16+((BF69*BF70-BF68*BF71)/(BF72))</f>
        <v>0</v>
      </c>
      <c r="BE73" s="227" t="s">
        <v>245</v>
      </c>
      <c r="BF73" s="228">
        <f>AR17+((BF67*BF71-BF68*BF70)/(BF72*COS(RADIANS(AR16))))</f>
        <v>1.8683979524330893E-45</v>
      </c>
      <c r="BG73" s="229"/>
      <c r="BH73" s="227" t="s">
        <v>317</v>
      </c>
      <c r="BI73" s="228">
        <f>AR16+((BJ69*BJ70-BJ68*BJ71)/(BJ72))</f>
        <v>0</v>
      </c>
      <c r="BJ73" s="228">
        <f>AR17+((BJ67*BJ71-BJ68*BJ70)/(BJ72*COS(RADIANS(AR16))))</f>
        <v>0</v>
      </c>
      <c r="BK73" s="229"/>
    </row>
    <row r="74" spans="48:60" ht="15.75" customHeight="1" hidden="1">
      <c r="AV74" s="239" t="s">
        <v>276</v>
      </c>
      <c r="AW74" s="242">
        <f>AW67*AW71-AW68*AW70</f>
        <v>0</v>
      </c>
      <c r="AX74" s="718">
        <f>AX67*AX71-AX68*AX70</f>
        <v>0</v>
      </c>
      <c r="AY74" s="719"/>
      <c r="BA74" s="96"/>
      <c r="BB74" s="96"/>
      <c r="BC74" s="96"/>
      <c r="BD74" s="96"/>
      <c r="BE74" s="96"/>
      <c r="BF74" s="96"/>
      <c r="BG74" s="96"/>
      <c r="BH74" s="96"/>
    </row>
    <row r="75" spans="48:60" ht="15.75" customHeight="1" hidden="1" thickBot="1">
      <c r="AV75" s="238" t="s">
        <v>277</v>
      </c>
      <c r="AW75" s="242">
        <f>ROUND(AW73/AW72,1)</f>
        <v>0</v>
      </c>
      <c r="AX75" s="718">
        <f>ROUND(AX73/AX72,1)</f>
        <v>0</v>
      </c>
      <c r="AY75" s="719"/>
      <c r="BA75" s="96"/>
      <c r="BB75" s="96"/>
      <c r="BC75" s="96"/>
      <c r="BD75" s="96"/>
      <c r="BE75" s="96"/>
      <c r="BF75" s="96"/>
      <c r="BG75" s="96"/>
      <c r="BH75" s="96"/>
    </row>
    <row r="76" spans="48:65" ht="15.75" customHeight="1" hidden="1">
      <c r="AV76" s="238" t="s">
        <v>278</v>
      </c>
      <c r="AW76" s="242">
        <f>ROUND((AW74/AW72)/COS(AW77*PI()/180),1)</f>
        <v>0</v>
      </c>
      <c r="AX76" s="718">
        <f>ROUND((AX74/AX72)/COS(AX77*PI()/180),1)</f>
        <v>0</v>
      </c>
      <c r="AY76" s="719"/>
      <c r="BA76" s="96"/>
      <c r="BB76" s="715" t="s">
        <v>287</v>
      </c>
      <c r="BC76" s="716"/>
      <c r="BD76" s="716"/>
      <c r="BE76" s="716"/>
      <c r="BF76" s="716"/>
      <c r="BG76" s="717"/>
      <c r="BH76" s="715" t="s">
        <v>318</v>
      </c>
      <c r="BI76" s="716"/>
      <c r="BJ76" s="716"/>
      <c r="BK76" s="716"/>
      <c r="BL76" s="716"/>
      <c r="BM76" s="717"/>
    </row>
    <row r="77" spans="48:65" ht="15.75" customHeight="1" hidden="1" thickBot="1">
      <c r="AV77" s="238" t="s">
        <v>279</v>
      </c>
      <c r="AW77" s="243">
        <f>AR16+AW75/60</f>
        <v>0</v>
      </c>
      <c r="AX77" s="718">
        <f>AR16+AX75/60</f>
        <v>0</v>
      </c>
      <c r="AY77" s="719"/>
      <c r="BA77" s="96"/>
      <c r="BB77" s="98" t="s">
        <v>288</v>
      </c>
      <c r="BC77" s="96"/>
      <c r="BD77" s="230" t="s">
        <v>289</v>
      </c>
      <c r="BE77" s="231" t="e">
        <f>(AX57-AX56)/(AW56-AW57)</f>
        <v>#DIV/0!</v>
      </c>
      <c r="BF77" s="230" t="s">
        <v>290</v>
      </c>
      <c r="BG77" s="232" t="e">
        <f>AW56*((AX57-AX56)/(AW56-AW57))+AX56</f>
        <v>#DIV/0!</v>
      </c>
      <c r="BH77" s="260" t="s">
        <v>288</v>
      </c>
      <c r="BI77" s="261"/>
      <c r="BJ77" s="262" t="s">
        <v>289</v>
      </c>
      <c r="BK77" s="263" t="b">
        <f>IF(AND(BA52=TRUE,BA53=TRUE,BA54=FALSE),(AX57-AX56)/(AW56-AW57),IF(AND(BA52=FALSE,BA53=TRUE,BA54=TRUE),(AX58-AX57)/(AW57-AW58),IF(AND(BA52=TRUE,BA53=FALSE,BA54=TRUE),(AX56-AX58)/(AW58-AW56))))</f>
        <v>0</v>
      </c>
      <c r="BL77" s="262" t="s">
        <v>290</v>
      </c>
      <c r="BM77" s="264" t="b">
        <f>IF(AND(BA52=TRUE,BA53=TRUE,BA54=FALSE),AW56*((AX57-AX56)/(AW56-AW57))+AX56,IF(AND(BA52=FALSE,BA53=TRUE,BA54=TRUE),AW57*((AX58-AX57)/(AW57-AW58))+AX57,IF(AND(BA52=TRUE,BA53=FALSE,BA54=TRUE),AW58*((AX56-AX58)/(AW58-AW56))+AX58)))</f>
        <v>0</v>
      </c>
    </row>
    <row r="78" spans="48:65" ht="15.75" customHeight="1" hidden="1" thickBot="1">
      <c r="AV78" s="240" t="s">
        <v>280</v>
      </c>
      <c r="AW78" s="244">
        <f>AR17+AW76/60</f>
        <v>0</v>
      </c>
      <c r="AX78" s="720">
        <f>AR17+AX76/60</f>
        <v>0</v>
      </c>
      <c r="AY78" s="721"/>
      <c r="BA78" s="96"/>
      <c r="BB78" s="98" t="s">
        <v>291</v>
      </c>
      <c r="BC78" s="96"/>
      <c r="BD78" s="230" t="s">
        <v>289</v>
      </c>
      <c r="BE78" s="231" t="e">
        <f>(AX58-AX57)/(AW57-AW58)</f>
        <v>#DIV/0!</v>
      </c>
      <c r="BF78" s="230" t="s">
        <v>290</v>
      </c>
      <c r="BG78" s="232" t="e">
        <f>AW57*((AX58-AX57)/(AW57-AW58))+AX57</f>
        <v>#DIV/0!</v>
      </c>
      <c r="BH78" s="92" t="s">
        <v>299</v>
      </c>
      <c r="BJ78" s="236" t="e">
        <f>DEGREES(ATAN(BM77/BK77))</f>
        <v>#DIV/0!</v>
      </c>
      <c r="BK78" s="60" t="s">
        <v>295</v>
      </c>
      <c r="BL78" s="726" t="b">
        <f>IF(AND(SIGN($BK$77)=-1,SIGN($BM$77)=1),270+($BJ$78*-1),IF(AND(SIGN($BK$77)=1,SIGN($BM$77)=1),90-$BJ$78,IF(AND(SIGN($BK$77)=1,SIGN($BM$77)=-1),90+($BJ$78*-1),IF(AND(SIGN($BK$77)=-1,SIGN($BM$77)=-1),270-$BJ$78))))</f>
        <v>0</v>
      </c>
      <c r="BM78" s="727"/>
    </row>
    <row r="79" spans="53:65" ht="15.75" customHeight="1" hidden="1" thickBot="1">
      <c r="BA79" s="96"/>
      <c r="BB79" s="98" t="s">
        <v>292</v>
      </c>
      <c r="BC79" s="96"/>
      <c r="BD79" s="230" t="s">
        <v>289</v>
      </c>
      <c r="BE79" s="231" t="e">
        <f>(AX56-AX58)/(AW58-AW56)</f>
        <v>#DIV/0!</v>
      </c>
      <c r="BF79" s="230" t="s">
        <v>290</v>
      </c>
      <c r="BG79" s="232" t="e">
        <f>AW58*((AX56-AX58)/(AW58-AW56))+AX58</f>
        <v>#DIV/0!</v>
      </c>
      <c r="BH79" s="90"/>
      <c r="BI79" s="6"/>
      <c r="BJ79" s="6"/>
      <c r="BK79" s="99" t="s">
        <v>255</v>
      </c>
      <c r="BL79" s="713">
        <f>SQRT($BK$77^2+$BM$77^2)</f>
        <v>0</v>
      </c>
      <c r="BM79" s="714"/>
    </row>
    <row r="80" spans="54:59" ht="15.75" customHeight="1" hidden="1" thickBot="1">
      <c r="BB80" s="90" t="s">
        <v>306</v>
      </c>
      <c r="BC80" s="6"/>
      <c r="BD80" s="99" t="s">
        <v>293</v>
      </c>
      <c r="BE80" s="118" t="e">
        <f>(BE77+BE78+BE79)/3</f>
        <v>#DIV/0!</v>
      </c>
      <c r="BF80" s="99" t="s">
        <v>294</v>
      </c>
      <c r="BG80" s="119" t="e">
        <f>(BG77+BG78+BG79)/3</f>
        <v>#DIV/0!</v>
      </c>
    </row>
    <row r="81" spans="54:59" ht="15.75" customHeight="1" hidden="1">
      <c r="BB81" s="92" t="s">
        <v>299</v>
      </c>
      <c r="BD81" s="236" t="e">
        <f>DEGREES(ATAN(BG80/BE80))</f>
        <v>#DIV/0!</v>
      </c>
      <c r="BE81" s="60" t="s">
        <v>295</v>
      </c>
      <c r="BF81" s="726" t="e">
        <f>IF(AND(SIGN($BE$80)=-1,SIGN($BG$80)=1),270+($BD$81*-1),IF(AND(SIGN($BE$80)=1,SIGN($BG$80)=1),90-$BD$81,IF(AND(SIGN($BE$80)=1,SIGN($BG$80)=-1),90+($BD$81*-1),IF(AND(SIGN($BE$80)=-1,SIGN($BG$80)=-1),270-$BD$81))))</f>
        <v>#DIV/0!</v>
      </c>
      <c r="BG81" s="727"/>
    </row>
    <row r="82" spans="54:59" ht="15.75" customHeight="1" hidden="1" thickBot="1">
      <c r="BB82" s="90"/>
      <c r="BC82" s="6"/>
      <c r="BD82" s="6"/>
      <c r="BE82" s="99" t="s">
        <v>255</v>
      </c>
      <c r="BF82" s="713" t="e">
        <f>SQRT($BE$80^2+$BG$80^2)</f>
        <v>#DIV/0!</v>
      </c>
      <c r="BG82" s="714"/>
    </row>
    <row r="83" ht="15.75" customHeight="1" hidden="1"/>
    <row r="84" ht="15.75" customHeight="1" hidden="1" thickBot="1"/>
    <row r="85" spans="54:65" ht="15.75" customHeight="1" hidden="1">
      <c r="BB85" s="820">
        <f>IF('Plotting (sight Reduction)'!BG13=BH85,1,IF('Plotting (sight Reduction)'!BG13=BH86,2,IF('Plotting (sight Reduction)'!BG13=BH87,3)))</f>
        <v>3</v>
      </c>
      <c r="BC85" s="821"/>
      <c r="BD85" s="163" t="s">
        <v>301</v>
      </c>
      <c r="BE85" s="163" t="s">
        <v>302</v>
      </c>
      <c r="BF85" s="220" t="s">
        <v>303</v>
      </c>
      <c r="BH85" s="2" t="s">
        <v>304</v>
      </c>
      <c r="BK85" s="2" t="s">
        <v>417</v>
      </c>
      <c r="BL85" s="2" t="e">
        <f>(AX57-AX56)/(AW56-AW57)</f>
        <v>#DIV/0!</v>
      </c>
      <c r="BM85" s="2" t="e">
        <f>AW56*((AX57-AX56)/(AW56-AW57))+AX56</f>
        <v>#DIV/0!</v>
      </c>
    </row>
    <row r="86" spans="54:65" ht="15.75" customHeight="1" hidden="1">
      <c r="BB86" s="816" t="s">
        <v>296</v>
      </c>
      <c r="BC86" s="105" t="s">
        <v>297</v>
      </c>
      <c r="BD86" s="116">
        <f>AR16+((BF69*BF70-BF68*BF71)/(BF72))</f>
        <v>0</v>
      </c>
      <c r="BE86" s="116">
        <f>$AR$16+AW75/60</f>
        <v>0</v>
      </c>
      <c r="BF86" s="106" t="e">
        <f>$BI$61</f>
        <v>#DIV/0!</v>
      </c>
      <c r="BH86" s="2" t="s">
        <v>305</v>
      </c>
      <c r="BK86" s="2" t="s">
        <v>418</v>
      </c>
      <c r="BL86" s="2" t="e">
        <f>(AX58-AX57)/(AW57-AW58)</f>
        <v>#DIV/0!</v>
      </c>
      <c r="BM86" s="2" t="e">
        <f>AW57*((AX58-AX57)/(AW57-AW58))+AX57</f>
        <v>#DIV/0!</v>
      </c>
    </row>
    <row r="87" spans="54:65" ht="15.75" customHeight="1" hidden="1">
      <c r="BB87" s="817"/>
      <c r="BC87" s="105" t="s">
        <v>298</v>
      </c>
      <c r="BD87" s="116">
        <f>AR17+((BF67*BF71-BF68*BF70)/(BF72*COS(RADIANS(AR16))))</f>
        <v>1.8683979524330893E-45</v>
      </c>
      <c r="BE87" s="116">
        <f>$AR$17+AW76/60</f>
        <v>0</v>
      </c>
      <c r="BF87" s="106" t="e">
        <f>$BI$64</f>
        <v>#DIV/0!</v>
      </c>
      <c r="BH87" s="2" t="str">
        <f>IF(LoP=3,"CoG of the Error triangle","Intersection of LoPs")</f>
        <v>CoG of the Error triangle</v>
      </c>
      <c r="BK87" s="2" t="s">
        <v>419</v>
      </c>
      <c r="BL87" s="2" t="e">
        <f>(AX56-AX58)/(AW58-AW56)</f>
        <v>#DIV/0!</v>
      </c>
      <c r="BM87" s="2" t="e">
        <f>AW58*((AX56-AX58)/(AW58-AW56))+AX58</f>
        <v>#DIV/0!</v>
      </c>
    </row>
    <row r="88" spans="54:58" ht="15.75" customHeight="1" hidden="1">
      <c r="BB88" s="818" t="s">
        <v>299</v>
      </c>
      <c r="BC88" s="105" t="s">
        <v>295</v>
      </c>
      <c r="BD88" s="116" t="e">
        <f>IF(BH63=0,0,IF(AND(SIGN(BH60)=1,SIGN(BH61)=1),ABS(BH63),IF(AND(SIGN(BH60)=-1,SIGN(BH61)=1),180-ABS(BH63),IF(AND(SIGN(BH60)=-1,SIGN(BH61)=-1),180+ABS(BH63),IF(AND(SIGN(BH60)=1,SIGN(BH61)=-1),360-ABS(BH63))))))</f>
        <v>#DIV/0!</v>
      </c>
      <c r="BE88" s="116" t="e">
        <f>IF(BG63=0,0,IF(AND(SIGN(BG60)=1,SIGN(BG61)=1),ABS(BG63),IF(AND(SIGN(BG60)=-1,SIGN(BG61)=1),180-ABS(BG63),IF(AND(SIGN(BG60)=-1,SIGN(BG61)=-1),180+ABS(BG63),IF(AND(SIGN(BG60)=1,SIGN(BG61)=-1),360-ABS(BG63))))))</f>
        <v>#DIV/0!</v>
      </c>
      <c r="BF88" s="106" t="e">
        <f>IF(AND(SIGN($BE$80)=-1,SIGN($BG$80)=1),270+($BD$81*-1),IF(AND(SIGN($BE$80)=1,SIGN($BG$80)=1),90-$BD$81,IF(AND(SIGN($BE$80)=1,SIGN($BG$80)=-1),90+($BD$81*-1),IF(AND(SIGN($BE$80)=-1,SIGN($BG$80)=-1),270-$BD$81))))</f>
        <v>#DIV/0!</v>
      </c>
    </row>
    <row r="89" spans="54:58" ht="15.75" customHeight="1" hidden="1" thickBot="1">
      <c r="BB89" s="819"/>
      <c r="BC89" s="107" t="s">
        <v>300</v>
      </c>
      <c r="BD89" s="108" t="e">
        <f>ABS($BH$64)</f>
        <v>#DIV/0!</v>
      </c>
      <c r="BE89" s="108" t="e">
        <f>ABS($BG$64)</f>
        <v>#DIV/0!</v>
      </c>
      <c r="BF89" s="117" t="e">
        <f>ABS(SQRT($BE$80^2+$BG$80^2))</f>
        <v>#DIV/0!</v>
      </c>
    </row>
    <row r="90" ht="15.75" customHeight="1" hidden="1" thickBot="1"/>
    <row r="91" spans="54:58" ht="15.75" customHeight="1" hidden="1">
      <c r="BB91" s="820" t="s">
        <v>316</v>
      </c>
      <c r="BC91" s="821"/>
      <c r="BD91" s="163" t="s">
        <v>301</v>
      </c>
      <c r="BE91" s="163" t="s">
        <v>302</v>
      </c>
      <c r="BF91" s="220" t="s">
        <v>303</v>
      </c>
    </row>
    <row r="92" spans="54:58" ht="15.75" customHeight="1" hidden="1">
      <c r="BB92" s="816" t="s">
        <v>296</v>
      </c>
      <c r="BC92" s="105" t="s">
        <v>297</v>
      </c>
      <c r="BD92" s="116">
        <f>AR16+((BJ69*BJ70-BJ68*BJ71)/(BJ72))</f>
        <v>0</v>
      </c>
      <c r="BE92" s="116">
        <f>$AR$16+AX75/60</f>
        <v>0</v>
      </c>
      <c r="BF92" s="106">
        <f>$BK$61</f>
        <v>0</v>
      </c>
    </row>
    <row r="93" spans="54:58" ht="15.75" customHeight="1" hidden="1">
      <c r="BB93" s="817"/>
      <c r="BC93" s="105" t="s">
        <v>298</v>
      </c>
      <c r="BD93" s="116">
        <f>AR17+((BJ67*BJ71-BJ68*BJ70)/(BJ72*COS(RADIANS(AR16))))</f>
        <v>0</v>
      </c>
      <c r="BE93" s="116">
        <f>$AR$17+AX76/60</f>
        <v>0</v>
      </c>
      <c r="BF93" s="106">
        <f>$BK$64</f>
        <v>0</v>
      </c>
    </row>
    <row r="94" spans="54:58" ht="15.75" customHeight="1" hidden="1">
      <c r="BB94" s="818" t="s">
        <v>299</v>
      </c>
      <c r="BC94" s="105" t="s">
        <v>295</v>
      </c>
      <c r="BD94" s="116" t="e">
        <f>IF(BM63=0,0,IF(AND(SIGN(BM60)=1,SIGN(BM61)=1),ABS(BM63),IF(AND(SIGN(BM60)=-1,SIGN(BM61)=1),180-ABS(BM63),IF(AND(SIGN(BM60)=-1,SIGN(BM61)=-1),180+ABS(BM63),IF(AND(SIGN(BM60)=1,SIGN(BM61)=-1),360-ABS(BM63))))))</f>
        <v>#DIV/0!</v>
      </c>
      <c r="BE94" s="116" t="e">
        <f>IF(BL63=0,0,IF(AND(SIGN(BL60)=1,SIGN(BL61)=1),ABS(BL63),IF(AND(SIGN(BL60)=-1,SIGN(BL61)=1),180-ABS(BL63),IF(AND(SIGN(BL60)=-1,SIGN(BL61)=-1),180+ABS(BL63),IF(AND(SIGN(BL60)=1,SIGN(BL61)=-1),360-ABS(BL63))))))</f>
        <v>#DIV/0!</v>
      </c>
      <c r="BF94" s="106" t="b">
        <f>IF(AND(SIGN($BK$77)=-1,SIGN($BM$77)=1),270+($BJ$78*-1),IF(AND(SIGN($BK$77)=1,SIGN($BM$77)=1),90-$BJ$78,IF(AND(SIGN($BK$77)=1,SIGN($BM$77)=-1),90+($BJ$78*-1),IF(AND(SIGN($BK$77)=-1,SIGN($BM$77)=-1),270-$BJ$78))))</f>
        <v>0</v>
      </c>
    </row>
    <row r="95" spans="54:58" ht="15.75" customHeight="1" hidden="1" thickBot="1">
      <c r="BB95" s="819"/>
      <c r="BC95" s="107" t="s">
        <v>300</v>
      </c>
      <c r="BD95" s="108" t="e">
        <f>ABS($BM$64)</f>
        <v>#DIV/0!</v>
      </c>
      <c r="BE95" s="108" t="e">
        <f>ABS($BL$64)</f>
        <v>#DIV/0!</v>
      </c>
      <c r="BF95" s="117">
        <f>ABS(SQRT($BK$77^2+$BM$77^2))</f>
        <v>0</v>
      </c>
    </row>
  </sheetData>
  <sheetProtection password="C661" sheet="1" selectLockedCells="1"/>
  <mergeCells count="212">
    <mergeCell ref="BB91:BC91"/>
    <mergeCell ref="BB92:BB93"/>
    <mergeCell ref="BB94:BB95"/>
    <mergeCell ref="AC56:AL56"/>
    <mergeCell ref="AX66:AY66"/>
    <mergeCell ref="AX67:AY67"/>
    <mergeCell ref="AX68:AY68"/>
    <mergeCell ref="AX69:AY69"/>
    <mergeCell ref="AX72:AY72"/>
    <mergeCell ref="AX73:AY73"/>
    <mergeCell ref="BB63:BC63"/>
    <mergeCell ref="BC72:BE72"/>
    <mergeCell ref="C2:P2"/>
    <mergeCell ref="Q2:AL2"/>
    <mergeCell ref="BB86:BB87"/>
    <mergeCell ref="BB88:BB89"/>
    <mergeCell ref="BB85:BC85"/>
    <mergeCell ref="BD57:BE57"/>
    <mergeCell ref="BB57:BC57"/>
    <mergeCell ref="M48:R48"/>
    <mergeCell ref="S48:T48"/>
    <mergeCell ref="AY51:AZ51"/>
    <mergeCell ref="BD61:BE61"/>
    <mergeCell ref="Z48:AC48"/>
    <mergeCell ref="M47:R47"/>
    <mergeCell ref="S47:T47"/>
    <mergeCell ref="V26:AA26"/>
    <mergeCell ref="AB24:AC24"/>
    <mergeCell ref="AE31:AJ31"/>
    <mergeCell ref="V31:AA31"/>
    <mergeCell ref="M44:R44"/>
    <mergeCell ref="M45:R45"/>
    <mergeCell ref="M40:R40"/>
    <mergeCell ref="M41:R41"/>
    <mergeCell ref="V32:AA32"/>
    <mergeCell ref="V33:AA33"/>
    <mergeCell ref="S16:T16"/>
    <mergeCell ref="M17:R17"/>
    <mergeCell ref="S17:T17"/>
    <mergeCell ref="V16:AA16"/>
    <mergeCell ref="S24:T24"/>
    <mergeCell ref="S25:T25"/>
    <mergeCell ref="AE16:AJ16"/>
    <mergeCell ref="AB25:AC25"/>
    <mergeCell ref="AE17:AJ17"/>
    <mergeCell ref="AE24:AJ24"/>
    <mergeCell ref="AE25:AJ25"/>
    <mergeCell ref="V24:AA24"/>
    <mergeCell ref="V25:AA25"/>
    <mergeCell ref="AE45:AJ45"/>
    <mergeCell ref="V27:AA27"/>
    <mergeCell ref="V28:AA28"/>
    <mergeCell ref="AE27:AJ27"/>
    <mergeCell ref="AE28:AJ28"/>
    <mergeCell ref="AE34:AJ34"/>
    <mergeCell ref="AE35:AJ35"/>
    <mergeCell ref="AE36:AJ36"/>
    <mergeCell ref="AE39:AJ39"/>
    <mergeCell ref="V45:AA45"/>
    <mergeCell ref="V36:AA36"/>
    <mergeCell ref="AB36:AC36"/>
    <mergeCell ref="V37:AA37"/>
    <mergeCell ref="V39:AA39"/>
    <mergeCell ref="AB39:AC39"/>
    <mergeCell ref="AE44:AJ44"/>
    <mergeCell ref="V41:AA41"/>
    <mergeCell ref="AK33:AL33"/>
    <mergeCell ref="AE32:AJ32"/>
    <mergeCell ref="AE33:AJ33"/>
    <mergeCell ref="AK16:AL16"/>
    <mergeCell ref="AE23:AJ23"/>
    <mergeCell ref="V23:AA23"/>
    <mergeCell ref="V19:AA19"/>
    <mergeCell ref="V20:AA20"/>
    <mergeCell ref="AB16:AC16"/>
    <mergeCell ref="V17:AA17"/>
    <mergeCell ref="C45:K45"/>
    <mergeCell ref="C47:K47"/>
    <mergeCell ref="C48:K48"/>
    <mergeCell ref="V47:AC47"/>
    <mergeCell ref="V48:Y48"/>
    <mergeCell ref="M35:R35"/>
    <mergeCell ref="M36:R36"/>
    <mergeCell ref="M37:R37"/>
    <mergeCell ref="V40:AA40"/>
    <mergeCell ref="V35:AA35"/>
    <mergeCell ref="C44:K44"/>
    <mergeCell ref="C31:K31"/>
    <mergeCell ref="C32:K32"/>
    <mergeCell ref="C36:K36"/>
    <mergeCell ref="M31:R31"/>
    <mergeCell ref="M32:R32"/>
    <mergeCell ref="M33:R33"/>
    <mergeCell ref="M34:R34"/>
    <mergeCell ref="AK25:AL25"/>
    <mergeCell ref="AB41:AC41"/>
    <mergeCell ref="V44:AA44"/>
    <mergeCell ref="M25:R25"/>
    <mergeCell ref="AK39:AL39"/>
    <mergeCell ref="AK40:AL40"/>
    <mergeCell ref="AK41:AL41"/>
    <mergeCell ref="M26:R26"/>
    <mergeCell ref="V34:AA34"/>
    <mergeCell ref="AB33:AC33"/>
    <mergeCell ref="C9:K9"/>
    <mergeCell ref="C14:K14"/>
    <mergeCell ref="C11:K11"/>
    <mergeCell ref="C13:K13"/>
    <mergeCell ref="M11:T11"/>
    <mergeCell ref="M13:T13"/>
    <mergeCell ref="C12:K12"/>
    <mergeCell ref="AE14:AG14"/>
    <mergeCell ref="M20:R20"/>
    <mergeCell ref="C23:K23"/>
    <mergeCell ref="AE22:AJ22"/>
    <mergeCell ref="M12:T12"/>
    <mergeCell ref="V12:AC12"/>
    <mergeCell ref="AE12:AL12"/>
    <mergeCell ref="AE19:AJ19"/>
    <mergeCell ref="AE20:AJ20"/>
    <mergeCell ref="AE21:AJ21"/>
    <mergeCell ref="AE11:AL11"/>
    <mergeCell ref="AE13:AL13"/>
    <mergeCell ref="AE9:AL9"/>
    <mergeCell ref="AE10:AL10"/>
    <mergeCell ref="U5:AA5"/>
    <mergeCell ref="AK17:AL17"/>
    <mergeCell ref="AB5:AL5"/>
    <mergeCell ref="U6:AA6"/>
    <mergeCell ref="AB6:AL6"/>
    <mergeCell ref="AH14:AL14"/>
    <mergeCell ref="C25:K25"/>
    <mergeCell ref="M14:O14"/>
    <mergeCell ref="P14:T14"/>
    <mergeCell ref="V14:X14"/>
    <mergeCell ref="Y14:AC14"/>
    <mergeCell ref="M19:R19"/>
    <mergeCell ref="M22:R22"/>
    <mergeCell ref="M23:R23"/>
    <mergeCell ref="V22:AA22"/>
    <mergeCell ref="AB17:AC17"/>
    <mergeCell ref="M21:R21"/>
    <mergeCell ref="V21:AA21"/>
    <mergeCell ref="C19:K19"/>
    <mergeCell ref="C20:K20"/>
    <mergeCell ref="C22:K22"/>
    <mergeCell ref="M24:R24"/>
    <mergeCell ref="C21:K21"/>
    <mergeCell ref="C24:K24"/>
    <mergeCell ref="M16:R16"/>
    <mergeCell ref="AK24:AL24"/>
    <mergeCell ref="C4:I4"/>
    <mergeCell ref="J4:T4"/>
    <mergeCell ref="C5:I5"/>
    <mergeCell ref="J5:T5"/>
    <mergeCell ref="O6:T6"/>
    <mergeCell ref="C6:I6"/>
    <mergeCell ref="V11:AC11"/>
    <mergeCell ref="V13:AC13"/>
    <mergeCell ref="U4:AA4"/>
    <mergeCell ref="AB4:AL4"/>
    <mergeCell ref="J6:N6"/>
    <mergeCell ref="C16:K16"/>
    <mergeCell ref="C17:K17"/>
    <mergeCell ref="C10:K10"/>
    <mergeCell ref="M10:T10"/>
    <mergeCell ref="V10:AC10"/>
    <mergeCell ref="V9:AC9"/>
    <mergeCell ref="M9:T9"/>
    <mergeCell ref="C26:K26"/>
    <mergeCell ref="C27:K27"/>
    <mergeCell ref="AE26:AJ26"/>
    <mergeCell ref="S40:T40"/>
    <mergeCell ref="S41:T41"/>
    <mergeCell ref="S39:T39"/>
    <mergeCell ref="AE40:AJ40"/>
    <mergeCell ref="AE41:AJ41"/>
    <mergeCell ref="C34:K34"/>
    <mergeCell ref="C35:K35"/>
    <mergeCell ref="C33:K33"/>
    <mergeCell ref="C28:K28"/>
    <mergeCell ref="S33:T33"/>
    <mergeCell ref="M27:R27"/>
    <mergeCell ref="M28:R28"/>
    <mergeCell ref="C37:K37"/>
    <mergeCell ref="S36:T36"/>
    <mergeCell ref="C41:K41"/>
    <mergeCell ref="C39:K39"/>
    <mergeCell ref="C40:K40"/>
    <mergeCell ref="AK36:AL36"/>
    <mergeCell ref="AE37:AJ37"/>
    <mergeCell ref="W56:AB56"/>
    <mergeCell ref="M39:R39"/>
    <mergeCell ref="AB40:AC40"/>
    <mergeCell ref="AE47:AL47"/>
    <mergeCell ref="AE48:AL48"/>
    <mergeCell ref="BK58:BN58"/>
    <mergeCell ref="BF58:BI58"/>
    <mergeCell ref="BH76:BM76"/>
    <mergeCell ref="BL78:BM78"/>
    <mergeCell ref="BL79:BM79"/>
    <mergeCell ref="BF81:BG81"/>
    <mergeCell ref="BF57:BG57"/>
    <mergeCell ref="BF82:BG82"/>
    <mergeCell ref="BB76:BG76"/>
    <mergeCell ref="AX74:AY74"/>
    <mergeCell ref="AX75:AY75"/>
    <mergeCell ref="AX76:AY76"/>
    <mergeCell ref="AX77:AY77"/>
    <mergeCell ref="AX78:AY78"/>
    <mergeCell ref="AX70:AY70"/>
    <mergeCell ref="AX71:AY71"/>
  </mergeCells>
  <conditionalFormatting sqref="U48">
    <cfRule type="expression" priority="10" dxfId="19">
      <formula>IF($AQ48=TRUE,1,0)</formula>
    </cfRule>
  </conditionalFormatting>
  <conditionalFormatting sqref="M33:R33 AE33:AG33 AE40:AG40">
    <cfRule type="expression" priority="8" dxfId="22">
      <formula>IF(S33="",1,0)</formula>
    </cfRule>
  </conditionalFormatting>
  <conditionalFormatting sqref="V33:AA33">
    <cfRule type="expression" priority="7" dxfId="22">
      <formula>IF(AB33="",1,0)</formula>
    </cfRule>
  </conditionalFormatting>
  <conditionalFormatting sqref="V40:AA40">
    <cfRule type="expression" priority="4" dxfId="22">
      <formula>IF(AB40="",1,0)</formula>
    </cfRule>
  </conditionalFormatting>
  <conditionalFormatting sqref="M40:R40">
    <cfRule type="expression" priority="3" dxfId="22">
      <formula>IF(S40="",1,0)</formula>
    </cfRule>
  </conditionalFormatting>
  <conditionalFormatting sqref="AH33:AJ33 AH40:AJ40">
    <cfRule type="expression" priority="12" dxfId="22">
      <formula>IF(AO33="",1,0)</formula>
    </cfRule>
  </conditionalFormatting>
  <conditionalFormatting sqref="J4:T6 AB4:AL6 M9:T12 V9:AC10 AE9:AL10 M14:T14 V14:AC14 AE14:AL14 M16:T17 V16:AC17 AE16:AL17 M19:T19 V19:AC19 AE19:AL19 S24:T25 AB24:AC25 AK24:AL25 M31:T32 M34:T34 S33:T33 V31:AC32 AB33:AC34 V34:AA34 AE31:AL32 AK33:AL33 AE34:AL34 M39:T39 S40:T40 V39:AC39 AB40:AC40 AE39:AL39 AK40:AL40">
    <cfRule type="expression" priority="2" dxfId="20">
      <formula>IF($U$56="x",1,0)</formula>
    </cfRule>
  </conditionalFormatting>
  <conditionalFormatting sqref="V11:AC13 AE11:AL13 M13:T13 M20:T23 V20:AC23 AE20:AL23 M24:R28 S26:T28 V24:AA28 AB26:AC28 AE24:AJ28 AK26:AL28 M33:R33 V33:AA33 AE33:AJ33 M35:R37 V35:AA37 AE35:AJ37 S36:T36 AB36:AC36 AK36:AL36 M40:R41 S41:T41 V40:AA41 AB41:AC41 AE40:AJ41 AK41:AL41 M47:T48 M44:T45 V44:AC45 AE44:AL45 V48:AC48 AE48:AL48">
    <cfRule type="expression" priority="1" dxfId="23">
      <formula>IF($U$56="x",1,0)</formula>
    </cfRule>
  </conditionalFormatting>
  <dataValidations count="9">
    <dataValidation type="list" allowBlank="1" showInputMessage="1" showErrorMessage="1" sqref="L27:L28">
      <formula1>"AM,PM"</formula1>
    </dataValidation>
    <dataValidation type="list" allowBlank="1" showInputMessage="1" showErrorMessage="1" sqref="D48:L48">
      <formula1>$E$6:$E$64</formula1>
    </dataValidation>
    <dataValidation type="decimal" allowBlank="1" showInputMessage="1" showErrorMessage="1" sqref="M17:R17">
      <formula1>-18000</formula1>
      <formula2>18000</formula2>
    </dataValidation>
    <dataValidation type="decimal" allowBlank="1" showInputMessage="1" showErrorMessage="1" sqref="V34:AA34 M34:R34 AE34:AJ34 M31:R31 V31:AA31 AE31:AJ31">
      <formula1>0</formula1>
      <formula2>35959.9</formula2>
    </dataValidation>
    <dataValidation type="decimal" allowBlank="1" showInputMessage="1" showErrorMessage="1" sqref="M32:R32 V32:AA32 AE32:AJ32">
      <formula1>0</formula1>
      <formula2>1502.5</formula2>
    </dataValidation>
    <dataValidation type="decimal" allowBlank="1" showInputMessage="1" showErrorMessage="1" sqref="M40:R40 V40:AA40 AE40:AJ40 M33:R33 V33:AA33 AE33:AJ33">
      <formula1>-18</formula1>
      <formula2>18</formula2>
    </dataValidation>
    <dataValidation type="decimal" allowBlank="1" showInputMessage="1" showErrorMessage="1" errorTitle="Bereich überschritten" error="Du hast eine zu große Deklination eingegeben.&#10;Es sind nur Werte von 89°59,9' N/S  (-8959,9 - 8959,9) zulässing!" sqref="M39:R39 V39:AA39 AE39:AJ39">
      <formula1>-8959.9</formula1>
      <formula2>8959.9</formula2>
    </dataValidation>
    <dataValidation type="decimal" allowBlank="1" showInputMessage="1" showErrorMessage="1" sqref="M16:R16">
      <formula1>-8959.9</formula1>
      <formula2>8959.9</formula2>
    </dataValidation>
    <dataValidation type="decimal" allowBlank="1" showInputMessage="1" showErrorMessage="1" sqref="M19:R19">
      <formula1>0</formula1>
      <formula2>8959.9</formula2>
    </dataValidation>
  </dataValidations>
  <printOptions/>
  <pageMargins left="0.7874015748031497" right="0.3937007874015748" top="0.52" bottom="0.24" header="0.5118110236220472" footer="0.25"/>
  <pageSetup orientation="portrait" paperSize="9" scale="97"/>
  <colBreaks count="1" manualBreakCount="1">
    <brk id="41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tt5">
    <pageSetUpPr fitToPage="1"/>
  </sheetPr>
  <dimension ref="A1:BN44"/>
  <sheetViews>
    <sheetView showGridLines="0" zoomScale="146" zoomScaleNormal="146" zoomScaleSheetLayoutView="97" zoomScalePageLayoutView="0" workbookViewId="0" topLeftCell="A14">
      <selection activeCell="BG13" sqref="BG13:BL13"/>
    </sheetView>
  </sheetViews>
  <sheetFormatPr defaultColWidth="0" defaultRowHeight="0" customHeight="1" zeroHeight="1"/>
  <cols>
    <col min="1" max="54" width="2.375" style="126" customWidth="1"/>
    <col min="55" max="55" width="3.125" style="126" customWidth="1"/>
    <col min="56" max="56" width="2.375" style="126" customWidth="1"/>
    <col min="57" max="57" width="1.00390625" style="503" customWidth="1"/>
    <col min="58" max="58" width="0.875" style="126" customWidth="1"/>
    <col min="59" max="62" width="2.375" style="126" customWidth="1"/>
    <col min="63" max="63" width="7.125" style="126" customWidth="1"/>
    <col min="64" max="64" width="3.50390625" style="126" customWidth="1"/>
    <col min="65" max="65" width="0.6171875" style="126" customWidth="1"/>
    <col min="66" max="66" width="1.00390625" style="126" customWidth="1"/>
    <col min="67" max="16384" width="2.375" style="126" hidden="1" customWidth="1"/>
  </cols>
  <sheetData>
    <row r="1" spans="1:66" ht="18.75" customHeight="1">
      <c r="A1" s="849" t="str">
        <f>'Calculation Sheet'!C2</f>
        <v>Ship's Name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BD1" s="520" t="s">
        <v>421</v>
      </c>
      <c r="BF1" s="503"/>
      <c r="BG1" s="503"/>
      <c r="BH1" s="503"/>
      <c r="BI1" s="503"/>
      <c r="BJ1" s="503"/>
      <c r="BK1" s="503"/>
      <c r="BL1" s="503"/>
      <c r="BM1" s="503"/>
      <c r="BN1" s="503"/>
    </row>
    <row r="2" spans="1:56" s="503" customFormat="1" ht="13.5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</row>
    <row r="3" spans="1:65" s="503" customFormat="1" ht="19.5" customHeight="1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137"/>
      <c r="AG3" s="137"/>
      <c r="AH3" s="137"/>
      <c r="AI3" s="137"/>
      <c r="AJ3" s="137"/>
      <c r="AK3" s="138"/>
      <c r="AL3" s="466"/>
      <c r="AM3" s="467"/>
      <c r="AN3" s="468"/>
      <c r="AO3" s="469"/>
      <c r="AP3" s="469"/>
      <c r="AQ3" s="469"/>
      <c r="AR3" s="469"/>
      <c r="AS3" s="469"/>
      <c r="AT3" s="469"/>
      <c r="AU3" s="469"/>
      <c r="AV3" s="468"/>
      <c r="AW3" s="468"/>
      <c r="AX3" s="468"/>
      <c r="AY3" s="468"/>
      <c r="AZ3" s="126"/>
      <c r="BA3" s="126"/>
      <c r="BB3" s="126"/>
      <c r="BC3" s="126"/>
      <c r="BD3" s="126"/>
      <c r="BF3" s="457"/>
      <c r="BG3" s="458"/>
      <c r="BH3" s="458"/>
      <c r="BI3" s="458"/>
      <c r="BJ3" s="458"/>
      <c r="BK3" s="458"/>
      <c r="BL3" s="458"/>
      <c r="BM3" s="459"/>
    </row>
    <row r="4" spans="1:65" s="503" customFormat="1" ht="19.5" customHeight="1">
      <c r="A4" s="465"/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137"/>
      <c r="AG4" s="137"/>
      <c r="AH4" s="137"/>
      <c r="AI4" s="137"/>
      <c r="AJ4" s="137"/>
      <c r="AK4" s="138"/>
      <c r="AL4" s="466"/>
      <c r="AM4" s="467"/>
      <c r="AN4" s="468"/>
      <c r="AO4" s="469"/>
      <c r="AP4" s="469"/>
      <c r="AQ4" s="469"/>
      <c r="AR4" s="469"/>
      <c r="AS4" s="469"/>
      <c r="AT4" s="469"/>
      <c r="AU4" s="469"/>
      <c r="AV4" s="468"/>
      <c r="AW4" s="468"/>
      <c r="AX4" s="468"/>
      <c r="AY4" s="468"/>
      <c r="AZ4" s="126"/>
      <c r="BA4" s="126"/>
      <c r="BB4" s="126"/>
      <c r="BC4" s="126"/>
      <c r="BD4" s="126"/>
      <c r="BF4" s="460"/>
      <c r="BG4" s="456"/>
      <c r="BH4" s="456"/>
      <c r="BI4" s="456"/>
      <c r="BJ4" s="456"/>
      <c r="BK4" s="456"/>
      <c r="BL4" s="456"/>
      <c r="BM4" s="461"/>
    </row>
    <row r="5" spans="1:65" s="503" customFormat="1" ht="19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468"/>
      <c r="AM5" s="467"/>
      <c r="AN5" s="468"/>
      <c r="AO5" s="469"/>
      <c r="AP5" s="469"/>
      <c r="AQ5" s="469"/>
      <c r="AR5" s="469"/>
      <c r="AS5" s="469"/>
      <c r="AT5" s="469"/>
      <c r="AU5" s="469"/>
      <c r="AV5" s="468"/>
      <c r="AW5" s="468"/>
      <c r="AX5" s="468"/>
      <c r="AY5" s="468"/>
      <c r="AZ5" s="126"/>
      <c r="BA5" s="126"/>
      <c r="BB5" s="126"/>
      <c r="BC5" s="126"/>
      <c r="BD5" s="126"/>
      <c r="BF5" s="460"/>
      <c r="BG5" s="456"/>
      <c r="BH5" s="456"/>
      <c r="BI5" s="456"/>
      <c r="BJ5" s="456"/>
      <c r="BK5" s="456"/>
      <c r="BL5" s="456"/>
      <c r="BM5" s="461"/>
    </row>
    <row r="6" spans="1:65" s="503" customFormat="1" ht="19.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6"/>
      <c r="M6" s="129"/>
      <c r="N6" s="129"/>
      <c r="O6" s="129"/>
      <c r="P6" s="129"/>
      <c r="Q6" s="129"/>
      <c r="R6" s="126"/>
      <c r="S6" s="129"/>
      <c r="T6" s="129"/>
      <c r="U6" s="129"/>
      <c r="V6" s="129"/>
      <c r="W6" s="129"/>
      <c r="X6" s="129"/>
      <c r="Y6" s="129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8"/>
      <c r="AL6" s="466"/>
      <c r="AM6" s="467"/>
      <c r="AN6" s="467"/>
      <c r="AO6" s="469"/>
      <c r="AP6" s="469"/>
      <c r="AQ6" s="469"/>
      <c r="AR6" s="469"/>
      <c r="AS6" s="469"/>
      <c r="AT6" s="469"/>
      <c r="AU6" s="469"/>
      <c r="AV6" s="470"/>
      <c r="AW6" s="467"/>
      <c r="AX6" s="467"/>
      <c r="AY6" s="468"/>
      <c r="AZ6" s="126"/>
      <c r="BA6" s="126"/>
      <c r="BB6" s="126"/>
      <c r="BC6" s="126"/>
      <c r="BD6" s="126"/>
      <c r="BF6" s="460"/>
      <c r="BG6" s="456"/>
      <c r="BH6" s="456"/>
      <c r="BI6" s="456"/>
      <c r="BJ6" s="456"/>
      <c r="BK6" s="456"/>
      <c r="BL6" s="456"/>
      <c r="BM6" s="461"/>
    </row>
    <row r="7" spans="1:65" s="503" customFormat="1" ht="27.75" customHeight="1">
      <c r="A7" s="137"/>
      <c r="B7" s="137"/>
      <c r="C7" s="137"/>
      <c r="D7" s="471"/>
      <c r="E7" s="471"/>
      <c r="F7" s="471"/>
      <c r="G7" s="472"/>
      <c r="H7" s="472"/>
      <c r="I7" s="472"/>
      <c r="J7" s="137"/>
      <c r="K7" s="137"/>
      <c r="L7" s="126"/>
      <c r="M7" s="126"/>
      <c r="N7" s="473"/>
      <c r="O7" s="473"/>
      <c r="P7" s="473"/>
      <c r="Q7" s="473"/>
      <c r="R7" s="126"/>
      <c r="S7" s="129"/>
      <c r="T7" s="129"/>
      <c r="U7" s="129"/>
      <c r="V7" s="129"/>
      <c r="W7" s="129"/>
      <c r="X7" s="129"/>
      <c r="Y7" s="129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139"/>
      <c r="AL7" s="466"/>
      <c r="AM7" s="467"/>
      <c r="AN7" s="475"/>
      <c r="AO7" s="469"/>
      <c r="AP7" s="469"/>
      <c r="AQ7" s="469"/>
      <c r="AR7" s="469"/>
      <c r="AS7" s="469"/>
      <c r="AT7" s="469"/>
      <c r="AU7" s="469"/>
      <c r="AV7" s="476"/>
      <c r="AW7" s="477"/>
      <c r="AX7" s="478"/>
      <c r="AY7" s="478"/>
      <c r="AZ7" s="126"/>
      <c r="BA7" s="126"/>
      <c r="BB7" s="126"/>
      <c r="BC7" s="126"/>
      <c r="BD7" s="126"/>
      <c r="BF7" s="460"/>
      <c r="BG7" s="456"/>
      <c r="BH7" s="456"/>
      <c r="BI7" s="456"/>
      <c r="BJ7" s="456"/>
      <c r="BK7" s="456"/>
      <c r="BL7" s="456"/>
      <c r="BM7" s="461"/>
    </row>
    <row r="8" spans="1:65" s="503" customFormat="1" ht="19.5" customHeight="1">
      <c r="A8" s="137"/>
      <c r="B8" s="137"/>
      <c r="C8" s="137"/>
      <c r="D8" s="479"/>
      <c r="E8" s="479"/>
      <c r="F8" s="479"/>
      <c r="G8" s="472"/>
      <c r="H8" s="472"/>
      <c r="I8" s="472"/>
      <c r="J8" s="137"/>
      <c r="K8" s="137"/>
      <c r="L8" s="126"/>
      <c r="M8" s="126"/>
      <c r="N8" s="480"/>
      <c r="O8" s="480"/>
      <c r="P8" s="480"/>
      <c r="Q8" s="480"/>
      <c r="R8" s="126"/>
      <c r="S8" s="129"/>
      <c r="T8" s="129"/>
      <c r="U8" s="129"/>
      <c r="V8" s="129"/>
      <c r="W8" s="129"/>
      <c r="X8" s="129"/>
      <c r="Y8" s="129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140"/>
      <c r="AL8" s="468"/>
      <c r="AM8" s="482"/>
      <c r="AN8" s="475"/>
      <c r="AO8" s="467"/>
      <c r="AP8" s="483"/>
      <c r="AQ8" s="467"/>
      <c r="AR8" s="467"/>
      <c r="AS8" s="467"/>
      <c r="AT8" s="477"/>
      <c r="AU8" s="484"/>
      <c r="AV8" s="484"/>
      <c r="AW8" s="477"/>
      <c r="AX8" s="485"/>
      <c r="AY8" s="485"/>
      <c r="AZ8" s="126"/>
      <c r="BA8" s="126"/>
      <c r="BB8" s="126"/>
      <c r="BC8" s="126"/>
      <c r="BD8" s="126"/>
      <c r="BF8" s="460"/>
      <c r="BG8" s="456"/>
      <c r="BH8" s="456"/>
      <c r="BI8" s="456"/>
      <c r="BJ8" s="456"/>
      <c r="BK8" s="456"/>
      <c r="BL8" s="456"/>
      <c r="BM8" s="461"/>
    </row>
    <row r="9" spans="1:65" s="503" customFormat="1" ht="19.5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468"/>
      <c r="AM9" s="482"/>
      <c r="AN9" s="486"/>
      <c r="AO9" s="467"/>
      <c r="AP9" s="467"/>
      <c r="AQ9" s="467"/>
      <c r="AR9" s="467"/>
      <c r="AS9" s="467"/>
      <c r="AT9" s="477"/>
      <c r="AU9" s="468"/>
      <c r="AV9" s="468"/>
      <c r="AW9" s="477"/>
      <c r="AX9" s="468"/>
      <c r="AY9" s="468"/>
      <c r="AZ9" s="126"/>
      <c r="BA9" s="126"/>
      <c r="BB9" s="126"/>
      <c r="BC9" s="126"/>
      <c r="BD9" s="126"/>
      <c r="BF9" s="460"/>
      <c r="BG9" s="456"/>
      <c r="BH9" s="456"/>
      <c r="BI9" s="456"/>
      <c r="BJ9" s="456"/>
      <c r="BK9" s="456"/>
      <c r="BL9" s="456"/>
      <c r="BM9" s="461"/>
    </row>
    <row r="10" spans="1:65" s="503" customFormat="1" ht="19.5" customHeight="1" thickBo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6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8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F10" s="462"/>
      <c r="BG10" s="463"/>
      <c r="BH10" s="463"/>
      <c r="BI10" s="463"/>
      <c r="BJ10" s="463"/>
      <c r="BK10" s="463"/>
      <c r="BL10" s="463"/>
      <c r="BM10" s="464"/>
    </row>
    <row r="11" spans="1:56" s="503" customFormat="1" ht="19.5" customHeight="1" thickBot="1">
      <c r="A11" s="137"/>
      <c r="B11" s="137"/>
      <c r="C11" s="137"/>
      <c r="D11" s="487"/>
      <c r="E11" s="487"/>
      <c r="F11" s="487"/>
      <c r="G11" s="487"/>
      <c r="H11" s="487"/>
      <c r="I11" s="487"/>
      <c r="J11" s="487"/>
      <c r="K11" s="487"/>
      <c r="L11" s="126"/>
      <c r="M11" s="137"/>
      <c r="N11" s="137"/>
      <c r="O11" s="128"/>
      <c r="P11" s="128"/>
      <c r="Q11" s="128"/>
      <c r="R11" s="126"/>
      <c r="S11" s="129"/>
      <c r="T11" s="129"/>
      <c r="U11" s="129"/>
      <c r="V11" s="129"/>
      <c r="W11" s="129"/>
      <c r="X11" s="129"/>
      <c r="Y11" s="129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8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</row>
    <row r="12" spans="1:65" s="503" customFormat="1" ht="19.5" customHeight="1">
      <c r="A12" s="137"/>
      <c r="B12" s="137"/>
      <c r="C12" s="137"/>
      <c r="D12" s="487"/>
      <c r="E12" s="487"/>
      <c r="F12" s="487"/>
      <c r="G12" s="487"/>
      <c r="H12" s="487"/>
      <c r="I12" s="487"/>
      <c r="J12" s="487"/>
      <c r="K12" s="487"/>
      <c r="L12" s="126"/>
      <c r="M12" s="137"/>
      <c r="N12" s="137"/>
      <c r="O12" s="137"/>
      <c r="P12" s="137"/>
      <c r="Q12" s="137"/>
      <c r="R12" s="126"/>
      <c r="S12" s="129"/>
      <c r="T12" s="129"/>
      <c r="U12" s="129"/>
      <c r="V12" s="129"/>
      <c r="W12" s="129"/>
      <c r="X12" s="129"/>
      <c r="Y12" s="129"/>
      <c r="Z12" s="488"/>
      <c r="AA12" s="488"/>
      <c r="AB12" s="488"/>
      <c r="AC12" s="488"/>
      <c r="AD12" s="488"/>
      <c r="AE12" s="489"/>
      <c r="AF12" s="489"/>
      <c r="AG12" s="489"/>
      <c r="AH12" s="489"/>
      <c r="AI12" s="489"/>
      <c r="AJ12" s="489"/>
      <c r="AK12" s="490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F12" s="514"/>
      <c r="BG12" s="851" t="s">
        <v>308</v>
      </c>
      <c r="BH12" s="851"/>
      <c r="BI12" s="851"/>
      <c r="BJ12" s="851"/>
      <c r="BK12" s="851"/>
      <c r="BL12" s="851"/>
      <c r="BM12" s="513"/>
    </row>
    <row r="13" spans="1:65" s="503" customFormat="1" ht="19.5" customHeight="1" thickBo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F13" s="515"/>
      <c r="BG13" s="842" t="s">
        <v>420</v>
      </c>
      <c r="BH13" s="842"/>
      <c r="BI13" s="842"/>
      <c r="BJ13" s="842"/>
      <c r="BK13" s="842"/>
      <c r="BL13" s="842"/>
      <c r="BM13" s="511"/>
    </row>
    <row r="14" spans="1:64" s="503" customFormat="1" ht="19.5" customHeight="1" thickBo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G14" s="850"/>
      <c r="BH14" s="850"/>
      <c r="BI14" s="850"/>
      <c r="BJ14" s="850"/>
      <c r="BK14" s="850"/>
      <c r="BL14" s="850"/>
    </row>
    <row r="15" spans="1:65" s="503" customFormat="1" ht="19.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48"/>
      <c r="N15" s="491"/>
      <c r="O15" s="137"/>
      <c r="P15" s="137"/>
      <c r="Q15" s="137"/>
      <c r="R15" s="137"/>
      <c r="S15" s="137"/>
      <c r="T15" s="137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F15" s="457"/>
      <c r="BG15" s="458" t="s">
        <v>307</v>
      </c>
      <c r="BH15" s="458"/>
      <c r="BI15" s="458"/>
      <c r="BJ15" s="458"/>
      <c r="BK15" s="458"/>
      <c r="BL15" s="512">
        <f>COUNTIF('Calculation Sheet'!BA52:BA54,TRUE)</f>
        <v>3</v>
      </c>
      <c r="BM15" s="513"/>
    </row>
    <row r="16" spans="1:65" s="503" customFormat="1" ht="19.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48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F16" s="460"/>
      <c r="BG16" s="456"/>
      <c r="BH16" s="456"/>
      <c r="BI16" s="456"/>
      <c r="BJ16" s="456"/>
      <c r="BK16" s="456"/>
      <c r="BL16" s="456"/>
      <c r="BM16" s="461"/>
    </row>
    <row r="17" spans="1:65" s="503" customFormat="1" ht="19.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48"/>
      <c r="N17" s="492"/>
      <c r="O17" s="133"/>
      <c r="P17" s="133"/>
      <c r="Q17" s="133"/>
      <c r="R17" s="133"/>
      <c r="S17" s="133"/>
      <c r="T17" s="133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F17" s="460"/>
      <c r="BG17" s="456"/>
      <c r="BH17" s="456"/>
      <c r="BI17" s="456"/>
      <c r="BJ17" s="456"/>
      <c r="BK17" s="456"/>
      <c r="BL17" s="456"/>
      <c r="BM17" s="461"/>
    </row>
    <row r="18" spans="1:65" s="503" customFormat="1" ht="19.5" customHeight="1" thickBo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48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F18" s="462"/>
      <c r="BG18" s="463"/>
      <c r="BH18" s="463"/>
      <c r="BI18" s="463"/>
      <c r="BJ18" s="463"/>
      <c r="BK18" s="463"/>
      <c r="BL18" s="463"/>
      <c r="BM18" s="464"/>
    </row>
    <row r="19" spans="1:56" s="503" customFormat="1" ht="27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48"/>
      <c r="N19" s="491"/>
      <c r="O19" s="137"/>
      <c r="P19" s="137"/>
      <c r="Q19" s="137"/>
      <c r="R19" s="137"/>
      <c r="S19" s="137"/>
      <c r="T19" s="137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493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</row>
    <row r="20" spans="1:57" s="503" customFormat="1" ht="19.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48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516"/>
      <c r="AQ20" s="516"/>
      <c r="AR20" s="516"/>
      <c r="AS20" s="516"/>
      <c r="AT20" s="516"/>
      <c r="AU20" s="516"/>
      <c r="AV20" s="517" t="s">
        <v>441</v>
      </c>
      <c r="AW20" s="841">
        <f>IF(TRUNC('Calculation Sheet'!$AR$16)*100+('Calculation Sheet'!$AR$16-TRUNC('Calculation Sheet'!$AR$16))*60=0,"",TRUNC('Calculation Sheet'!$AR$16)*100+('Calculation Sheet'!$AR$16-TRUNC('Calculation Sheet'!$AR$16))*60)</f>
      </c>
      <c r="AX20" s="841"/>
      <c r="AY20" s="841"/>
      <c r="AZ20" s="841"/>
      <c r="BA20" s="841"/>
      <c r="BB20" s="841"/>
      <c r="BC20" s="841"/>
      <c r="BD20" s="841"/>
      <c r="BE20" s="504"/>
    </row>
    <row r="21" spans="1:57" s="503" customFormat="1" ht="19.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48"/>
      <c r="N21" s="491"/>
      <c r="O21" s="137"/>
      <c r="P21" s="137"/>
      <c r="Q21" s="137"/>
      <c r="R21" s="137"/>
      <c r="S21" s="137"/>
      <c r="T21" s="137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494"/>
      <c r="AQ21" s="494"/>
      <c r="AR21" s="494"/>
      <c r="AS21" s="494"/>
      <c r="AT21" s="494"/>
      <c r="AU21" s="494"/>
      <c r="AV21" s="265"/>
      <c r="AW21" s="853">
        <f>IF(TRUNC('Calculation Sheet'!$AR$17)*100+('Calculation Sheet'!$AR$17-TRUNC('Calculation Sheet'!$AR$17))*60=0,"",TRUNC('Calculation Sheet'!$AR$17)*100+('Calculation Sheet'!$AR$17-TRUNC('Calculation Sheet'!$AR$17))*60)</f>
      </c>
      <c r="AX21" s="853"/>
      <c r="AY21" s="853"/>
      <c r="AZ21" s="853"/>
      <c r="BA21" s="853"/>
      <c r="BB21" s="853"/>
      <c r="BC21" s="853"/>
      <c r="BD21" s="853"/>
      <c r="BE21" s="505"/>
    </row>
    <row r="22" spans="1:57" s="503" customFormat="1" ht="19.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48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494"/>
      <c r="AQ22" s="494"/>
      <c r="AR22" s="494"/>
      <c r="AS22" s="494"/>
      <c r="AT22" s="494"/>
      <c r="AU22" s="518"/>
      <c r="AV22" s="519" t="s">
        <v>286</v>
      </c>
      <c r="AW22" s="854" t="e">
        <f>TRUNC('Calculation Sheet'!$AP$47)*100+('Calculation Sheet'!$AP$47-TRUNC('Calculation Sheet'!$AP$47))*60</f>
        <v>#DIV/0!</v>
      </c>
      <c r="AX22" s="854"/>
      <c r="AY22" s="854"/>
      <c r="AZ22" s="854"/>
      <c r="BA22" s="854"/>
      <c r="BB22" s="854"/>
      <c r="BC22" s="854"/>
      <c r="BD22" s="854"/>
      <c r="BE22" s="506"/>
    </row>
    <row r="23" spans="1:57" s="503" customFormat="1" ht="19.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48"/>
      <c r="N23" s="491"/>
      <c r="O23" s="137"/>
      <c r="P23" s="137"/>
      <c r="Q23" s="137"/>
      <c r="R23" s="137"/>
      <c r="S23" s="137"/>
      <c r="T23" s="137"/>
      <c r="U23" s="495"/>
      <c r="V23" s="495"/>
      <c r="W23" s="137"/>
      <c r="X23" s="137"/>
      <c r="Y23" s="137"/>
      <c r="Z23" s="137"/>
      <c r="AA23" s="137"/>
      <c r="AB23" s="137"/>
      <c r="AC23" s="126"/>
      <c r="AD23" s="137"/>
      <c r="AE23" s="137"/>
      <c r="AF23" s="137"/>
      <c r="AG23" s="137"/>
      <c r="AH23" s="137"/>
      <c r="AI23" s="137"/>
      <c r="AJ23" s="137"/>
      <c r="AK23" s="141"/>
      <c r="AL23" s="126"/>
      <c r="AM23" s="126"/>
      <c r="AN23" s="126"/>
      <c r="AO23" s="126"/>
      <c r="AP23" s="109"/>
      <c r="AQ23" s="110"/>
      <c r="AR23" s="109"/>
      <c r="AS23" s="109"/>
      <c r="AT23" s="109"/>
      <c r="AU23" s="109"/>
      <c r="AV23" s="109"/>
      <c r="AW23" s="852" t="e">
        <f>TRUNC('Calculation Sheet'!$AP$48)*100+('Calculation Sheet'!$AP$48-TRUNC('Calculation Sheet'!$AP$48))*60</f>
        <v>#DIV/0!</v>
      </c>
      <c r="AX23" s="852"/>
      <c r="AY23" s="852"/>
      <c r="AZ23" s="852"/>
      <c r="BA23" s="852"/>
      <c r="BB23" s="852"/>
      <c r="BC23" s="852"/>
      <c r="BD23" s="852"/>
      <c r="BE23" s="507"/>
    </row>
    <row r="24" spans="1:57" s="503" customFormat="1" ht="19.5" customHeigh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48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41"/>
      <c r="AE24" s="141"/>
      <c r="AF24" s="141"/>
      <c r="AG24" s="141"/>
      <c r="AH24" s="141"/>
      <c r="AI24" s="141"/>
      <c r="AJ24" s="141"/>
      <c r="AK24" s="141"/>
      <c r="AL24" s="126"/>
      <c r="AM24" s="126"/>
      <c r="AN24" s="126"/>
      <c r="AO24" s="126"/>
      <c r="AP24" s="109"/>
      <c r="AQ24" s="109"/>
      <c r="AR24" s="109"/>
      <c r="AS24" s="109"/>
      <c r="AT24" s="109"/>
      <c r="AU24" s="109"/>
      <c r="AV24" s="266" t="s">
        <v>221</v>
      </c>
      <c r="AW24" s="855" t="e">
        <f>'Calculation Sheet'!$AR$47</f>
        <v>#DIV/0!</v>
      </c>
      <c r="AX24" s="855"/>
      <c r="AY24" s="855"/>
      <c r="AZ24" s="840" t="e">
        <f>'Calculation Sheet'!$AR$48</f>
        <v>#DIV/0!</v>
      </c>
      <c r="BA24" s="840"/>
      <c r="BB24" s="840"/>
      <c r="BC24" s="840"/>
      <c r="BD24" s="840"/>
      <c r="BE24" s="508"/>
    </row>
    <row r="25" spans="1:56" s="503" customFormat="1" ht="19.5" customHeight="1">
      <c r="A25" s="847" t="s">
        <v>442</v>
      </c>
      <c r="B25" s="847"/>
      <c r="C25" s="847"/>
      <c r="D25" s="847"/>
      <c r="E25" s="847"/>
      <c r="F25" s="847"/>
      <c r="G25" s="847"/>
      <c r="H25" s="847"/>
      <c r="I25" s="137"/>
      <c r="J25" s="137"/>
      <c r="K25" s="137"/>
      <c r="L25" s="137"/>
      <c r="M25" s="148"/>
      <c r="N25" s="133"/>
      <c r="O25" s="133"/>
      <c r="P25" s="133"/>
      <c r="Q25" s="133"/>
      <c r="R25" s="133"/>
      <c r="S25" s="133"/>
      <c r="T25" s="133"/>
      <c r="U25" s="126"/>
      <c r="V25" s="126"/>
      <c r="W25" s="137"/>
      <c r="X25" s="137"/>
      <c r="Y25" s="137"/>
      <c r="Z25" s="137"/>
      <c r="AA25" s="137"/>
      <c r="AB25" s="137"/>
      <c r="AC25" s="126"/>
      <c r="AD25" s="137"/>
      <c r="AE25" s="137"/>
      <c r="AF25" s="137"/>
      <c r="AG25" s="137"/>
      <c r="AH25" s="137"/>
      <c r="AI25" s="137"/>
      <c r="AJ25" s="137"/>
      <c r="AK25" s="141"/>
      <c r="AL25" s="126"/>
      <c r="AM25" s="126"/>
      <c r="AN25" s="126"/>
      <c r="AO25" s="845" t="s">
        <v>284</v>
      </c>
      <c r="AP25" s="845"/>
      <c r="AQ25" s="845"/>
      <c r="AR25" s="845"/>
      <c r="AS25" s="845"/>
      <c r="AT25" s="845"/>
      <c r="AU25" s="845"/>
      <c r="AV25" s="845"/>
      <c r="AW25" s="843">
        <f>IF('Calculation Sheet'!AE10=0,"",'Calculation Sheet'!AE10)</f>
      </c>
      <c r="AX25" s="843"/>
      <c r="AY25" s="843"/>
      <c r="AZ25" s="843"/>
      <c r="BA25" s="843"/>
      <c r="BB25" s="843"/>
      <c r="BC25" s="843"/>
      <c r="BD25" s="843"/>
    </row>
    <row r="26" spans="1:57" s="503" customFormat="1" ht="19.5" customHeight="1">
      <c r="A26" s="848"/>
      <c r="B26" s="848"/>
      <c r="C26" s="848"/>
      <c r="D26" s="848"/>
      <c r="E26" s="848"/>
      <c r="F26" s="848"/>
      <c r="G26" s="848"/>
      <c r="H26" s="848"/>
      <c r="I26" s="127"/>
      <c r="J26" s="127"/>
      <c r="K26" s="127"/>
      <c r="L26" s="127"/>
      <c r="M26" s="496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497"/>
      <c r="AE26" s="497"/>
      <c r="AF26" s="497"/>
      <c r="AG26" s="497"/>
      <c r="AH26" s="497"/>
      <c r="AI26" s="497"/>
      <c r="AJ26" s="497"/>
      <c r="AK26" s="497"/>
      <c r="AL26" s="127"/>
      <c r="AM26" s="127"/>
      <c r="AN26" s="127"/>
      <c r="AO26" s="846"/>
      <c r="AP26" s="846"/>
      <c r="AQ26" s="846"/>
      <c r="AR26" s="846"/>
      <c r="AS26" s="846"/>
      <c r="AT26" s="846"/>
      <c r="AU26" s="846"/>
      <c r="AV26" s="846"/>
      <c r="AW26" s="844"/>
      <c r="AX26" s="844"/>
      <c r="AY26" s="844"/>
      <c r="AZ26" s="844"/>
      <c r="BA26" s="844"/>
      <c r="BB26" s="844"/>
      <c r="BC26" s="844"/>
      <c r="BD26" s="844"/>
      <c r="BE26" s="509"/>
    </row>
    <row r="27" spans="1:56" s="503" customFormat="1" ht="6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48"/>
      <c r="N27" s="491"/>
      <c r="O27" s="137"/>
      <c r="P27" s="137"/>
      <c r="Q27" s="137"/>
      <c r="R27" s="137"/>
      <c r="S27" s="137"/>
      <c r="T27" s="137"/>
      <c r="U27" s="126"/>
      <c r="V27" s="126"/>
      <c r="W27" s="137"/>
      <c r="X27" s="137"/>
      <c r="Y27" s="137"/>
      <c r="Z27" s="137"/>
      <c r="AA27" s="137"/>
      <c r="AB27" s="137"/>
      <c r="AC27" s="126"/>
      <c r="AD27" s="137"/>
      <c r="AE27" s="137"/>
      <c r="AF27" s="137"/>
      <c r="AG27" s="137"/>
      <c r="AH27" s="137"/>
      <c r="AI27" s="137"/>
      <c r="AJ27" s="137"/>
      <c r="AK27" s="141"/>
      <c r="AL27" s="126"/>
      <c r="AM27" s="126"/>
      <c r="AN27" s="126"/>
      <c r="AO27" s="126"/>
      <c r="AP27" s="126"/>
      <c r="AQ27" s="493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</row>
    <row r="28" spans="30:37" ht="19.5" customHeight="1" hidden="1">
      <c r="AD28" s="141"/>
      <c r="AE28" s="141"/>
      <c r="AF28" s="141"/>
      <c r="AG28" s="141"/>
      <c r="AH28" s="141"/>
      <c r="AI28" s="141"/>
      <c r="AJ28" s="141"/>
      <c r="AK28" s="141"/>
    </row>
    <row r="29" spans="23:37" ht="19.5" customHeight="1" hidden="1">
      <c r="W29" s="137"/>
      <c r="X29" s="137"/>
      <c r="Y29" s="137"/>
      <c r="Z29" s="137"/>
      <c r="AA29" s="137"/>
      <c r="AB29" s="137"/>
      <c r="AD29" s="137"/>
      <c r="AE29" s="137"/>
      <c r="AF29" s="137"/>
      <c r="AG29" s="137"/>
      <c r="AH29" s="137"/>
      <c r="AI29" s="137"/>
      <c r="AJ29" s="137"/>
      <c r="AK29" s="141"/>
    </row>
    <row r="30" spans="30:37" ht="19.5" customHeight="1" hidden="1">
      <c r="AD30" s="141"/>
      <c r="AE30" s="141"/>
      <c r="AF30" s="141"/>
      <c r="AG30" s="141"/>
      <c r="AH30" s="141"/>
      <c r="AI30" s="141"/>
      <c r="AJ30" s="141"/>
      <c r="AK30" s="141"/>
    </row>
    <row r="31" spans="23:37" ht="19.5" customHeight="1" hidden="1">
      <c r="W31" s="137"/>
      <c r="X31" s="137"/>
      <c r="Y31" s="137"/>
      <c r="Z31" s="137"/>
      <c r="AA31" s="137"/>
      <c r="AB31" s="137"/>
      <c r="AD31" s="137"/>
      <c r="AE31" s="137"/>
      <c r="AF31" s="137"/>
      <c r="AG31" s="137"/>
      <c r="AH31" s="137"/>
      <c r="AI31" s="137"/>
      <c r="AJ31" s="137"/>
      <c r="AK31" s="141"/>
    </row>
    <row r="32" ht="19.5" customHeight="1" hidden="1"/>
    <row r="33" spans="1:37" ht="19.5" customHeight="1" hidden="1">
      <c r="A33" s="137"/>
      <c r="B33" s="137"/>
      <c r="C33" s="137"/>
      <c r="D33" s="137"/>
      <c r="E33" s="137"/>
      <c r="F33" s="137"/>
      <c r="G33" s="137"/>
      <c r="H33" s="498"/>
      <c r="I33" s="498"/>
      <c r="J33" s="498"/>
      <c r="K33" s="498"/>
      <c r="L33" s="498"/>
      <c r="M33" s="499"/>
      <c r="N33" s="49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2"/>
    </row>
    <row r="34" spans="1:37" ht="19.5" customHeight="1" hidden="1">
      <c r="A34" s="137"/>
      <c r="B34" s="137"/>
      <c r="C34" s="137"/>
      <c r="D34" s="137"/>
      <c r="E34" s="137"/>
      <c r="F34" s="137"/>
      <c r="G34" s="137"/>
      <c r="H34" s="135"/>
      <c r="I34" s="135"/>
      <c r="J34" s="135"/>
      <c r="K34" s="135"/>
      <c r="L34" s="135"/>
      <c r="M34" s="499"/>
      <c r="N34" s="49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2"/>
    </row>
    <row r="35" ht="19.5" customHeight="1" hidden="1"/>
    <row r="36" spans="2:57" ht="19.5" customHeight="1" hidden="1"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43"/>
      <c r="AZ36" s="500"/>
      <c r="BA36" s="149"/>
      <c r="BB36" s="149"/>
      <c r="BC36" s="149"/>
      <c r="BD36" s="149"/>
      <c r="BE36" s="510"/>
    </row>
    <row r="37" spans="2:57" ht="19.5" customHeight="1" hidden="1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501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44"/>
      <c r="BA37" s="149"/>
      <c r="BB37" s="149"/>
      <c r="BC37" s="149"/>
      <c r="BD37" s="149"/>
      <c r="BE37" s="510"/>
    </row>
    <row r="38" spans="1:57" ht="19.5" customHeight="1" hidden="1">
      <c r="A38" s="501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502"/>
      <c r="N38" s="502"/>
      <c r="O38" s="502"/>
      <c r="P38" s="502"/>
      <c r="Q38" s="502"/>
      <c r="R38" s="135"/>
      <c r="S38" s="135"/>
      <c r="T38" s="135"/>
      <c r="U38" s="135"/>
      <c r="V38" s="135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8"/>
      <c r="AZ38" s="500"/>
      <c r="BA38" s="149"/>
      <c r="BB38" s="149"/>
      <c r="BC38" s="149"/>
      <c r="BD38" s="149"/>
      <c r="BE38" s="510"/>
    </row>
    <row r="39" spans="1:57" ht="19.5" customHeight="1" hidden="1">
      <c r="A39" s="501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502"/>
      <c r="N39" s="502"/>
      <c r="O39" s="502"/>
      <c r="P39" s="502"/>
      <c r="Q39" s="502"/>
      <c r="R39" s="135"/>
      <c r="S39" s="135"/>
      <c r="T39" s="135"/>
      <c r="U39" s="135"/>
      <c r="V39" s="135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8"/>
      <c r="AZ39" s="500"/>
      <c r="BA39" s="149"/>
      <c r="BB39" s="149"/>
      <c r="BC39" s="149"/>
      <c r="BD39" s="149"/>
      <c r="BE39" s="510"/>
    </row>
    <row r="40" spans="1:57" ht="19.5" customHeight="1" hidden="1">
      <c r="A40" s="501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502"/>
      <c r="N40" s="502"/>
      <c r="O40" s="502"/>
      <c r="P40" s="502"/>
      <c r="Q40" s="502"/>
      <c r="R40" s="135"/>
      <c r="S40" s="135"/>
      <c r="T40" s="135"/>
      <c r="U40" s="135"/>
      <c r="V40" s="135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8"/>
      <c r="AZ40" s="500"/>
      <c r="BA40" s="149"/>
      <c r="BB40" s="149"/>
      <c r="BC40" s="149"/>
      <c r="BD40" s="149"/>
      <c r="BE40" s="510"/>
    </row>
    <row r="41" spans="1:57" ht="19.5" customHeight="1" hidden="1">
      <c r="A41" s="501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502"/>
      <c r="N41" s="502"/>
      <c r="O41" s="502"/>
      <c r="P41" s="502"/>
      <c r="Q41" s="502"/>
      <c r="R41" s="135"/>
      <c r="S41" s="135"/>
      <c r="T41" s="135"/>
      <c r="U41" s="135"/>
      <c r="V41" s="135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8"/>
      <c r="AZ41" s="500"/>
      <c r="BA41" s="149"/>
      <c r="BB41" s="149"/>
      <c r="BC41" s="149"/>
      <c r="BD41" s="149"/>
      <c r="BE41" s="510"/>
    </row>
    <row r="42" spans="1:57" ht="19.5" customHeight="1" hidden="1">
      <c r="A42" s="501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502"/>
      <c r="N42" s="502"/>
      <c r="O42" s="502"/>
      <c r="P42" s="502"/>
      <c r="Q42" s="502"/>
      <c r="R42" s="135"/>
      <c r="S42" s="135"/>
      <c r="T42" s="135"/>
      <c r="U42" s="135"/>
      <c r="V42" s="135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8"/>
      <c r="AZ42" s="500"/>
      <c r="BA42" s="149"/>
      <c r="BB42" s="149"/>
      <c r="BC42" s="149"/>
      <c r="BD42" s="149"/>
      <c r="BE42" s="510"/>
    </row>
    <row r="43" spans="1:57" ht="19.5" customHeight="1" hidden="1">
      <c r="A43" s="501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502"/>
      <c r="N43" s="502"/>
      <c r="O43" s="502"/>
      <c r="P43" s="502"/>
      <c r="Q43" s="502"/>
      <c r="R43" s="135"/>
      <c r="S43" s="135"/>
      <c r="T43" s="135"/>
      <c r="U43" s="135"/>
      <c r="V43" s="135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8"/>
      <c r="AZ43" s="500"/>
      <c r="BA43" s="149"/>
      <c r="BB43" s="149"/>
      <c r="BC43" s="149"/>
      <c r="BD43" s="149"/>
      <c r="BE43" s="510"/>
    </row>
    <row r="44" spans="1:57" ht="19.5" customHeight="1" hidden="1">
      <c r="A44" s="501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502"/>
      <c r="N44" s="502"/>
      <c r="O44" s="502"/>
      <c r="P44" s="502"/>
      <c r="Q44" s="502"/>
      <c r="R44" s="135"/>
      <c r="S44" s="135"/>
      <c r="T44" s="135"/>
      <c r="U44" s="135"/>
      <c r="V44" s="135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8"/>
      <c r="AZ44" s="500"/>
      <c r="BA44" s="149"/>
      <c r="BB44" s="149"/>
      <c r="BC44" s="149"/>
      <c r="BD44" s="149"/>
      <c r="BE44" s="510"/>
    </row>
  </sheetData>
  <sheetProtection password="C661" sheet="1" objects="1" scenarios="1" selectLockedCells="1"/>
  <mergeCells count="13">
    <mergeCell ref="A1:S1"/>
    <mergeCell ref="BG14:BL14"/>
    <mergeCell ref="BG12:BL12"/>
    <mergeCell ref="AW23:BD23"/>
    <mergeCell ref="AW21:BD21"/>
    <mergeCell ref="AW22:BD22"/>
    <mergeCell ref="AZ24:BD24"/>
    <mergeCell ref="AW20:BD20"/>
    <mergeCell ref="BG13:BL13"/>
    <mergeCell ref="AW25:BD26"/>
    <mergeCell ref="AO25:AV26"/>
    <mergeCell ref="A25:H26"/>
    <mergeCell ref="AW24:AY24"/>
  </mergeCells>
  <conditionalFormatting sqref="B38:V38">
    <cfRule type="expression" priority="3" dxfId="19">
      <formula>IF($AM38=TRUE,1,0)</formula>
    </cfRule>
  </conditionalFormatting>
  <conditionalFormatting sqref="B39:V44">
    <cfRule type="expression" priority="2" dxfId="19">
      <formula>IF($AM39=TRUE,1,0)</formula>
    </cfRule>
  </conditionalFormatting>
  <conditionalFormatting sqref="AW22:BD24">
    <cfRule type="containsErrors" priority="4" dxfId="24">
      <formula>ISERROR(AW22)</formula>
    </cfRule>
  </conditionalFormatting>
  <dataValidations count="3">
    <dataValidation type="decimal" allowBlank="1" showInputMessage="1" showErrorMessage="1" sqref="G7:I8">
      <formula1>0</formula1>
      <formula2>59.99</formula2>
    </dataValidation>
    <dataValidation type="list" allowBlank="1" showInputMessage="1" showErrorMessage="1" sqref="O12:Q12">
      <formula1>"AM,PM"</formula1>
    </dataValidation>
    <dataValidation type="list" allowBlank="1" showInputMessage="1" showErrorMessage="1" sqref="BM13">
      <formula1>'Plotting (sight Reduction)'!#REF!</formula1>
    </dataValidation>
  </dataValidations>
  <printOptions horizontalCentered="1" verticalCentered="1"/>
  <pageMargins left="0.2" right="0.2" top="0.1968503937007874" bottom="0.2" header="0" footer="0"/>
  <pageSetup fitToHeight="0" fitToWidth="1" orientation="landscape" paperSize="9" scale="9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tt8">
    <pageSetUpPr fitToPage="1"/>
  </sheetPr>
  <dimension ref="A1:BN44"/>
  <sheetViews>
    <sheetView showGridLines="0" zoomScale="97" zoomScaleNormal="97" zoomScaleSheetLayoutView="97" zoomScalePageLayoutView="0" workbookViewId="0" topLeftCell="A1">
      <selection activeCell="A25" sqref="A25:H26"/>
    </sheetView>
  </sheetViews>
  <sheetFormatPr defaultColWidth="0" defaultRowHeight="0" customHeight="1" zeroHeight="1"/>
  <cols>
    <col min="1" max="54" width="2.375" style="126" customWidth="1"/>
    <col min="55" max="55" width="3.125" style="126" customWidth="1"/>
    <col min="56" max="56" width="2.375" style="126" customWidth="1"/>
    <col min="57" max="57" width="1.00390625" style="2" hidden="1" customWidth="1"/>
    <col min="58" max="58" width="0.875" style="2" hidden="1" customWidth="1"/>
    <col min="59" max="62" width="2.375" style="2" hidden="1" customWidth="1"/>
    <col min="63" max="63" width="7.125" style="2" hidden="1" customWidth="1"/>
    <col min="64" max="64" width="3.50390625" style="2" hidden="1" customWidth="1"/>
    <col min="65" max="65" width="0.6171875" style="2" hidden="1" customWidth="1"/>
    <col min="66" max="66" width="1.00390625" style="2" hidden="1" customWidth="1"/>
    <col min="67" max="16384" width="2.375" style="126" hidden="1" customWidth="1"/>
  </cols>
  <sheetData>
    <row r="1" spans="1:56" ht="18.75" customHeight="1">
      <c r="A1" s="849" t="str">
        <f>'Calculation Sheet'!C2</f>
        <v>Ship's Name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BD1" s="520" t="s">
        <v>421</v>
      </c>
    </row>
    <row r="2" spans="1:66" s="503" customFormat="1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s="503" customFormat="1" ht="19.5" customHeight="1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137"/>
      <c r="AG3" s="137"/>
      <c r="AH3" s="137"/>
      <c r="AI3" s="137"/>
      <c r="AJ3" s="137"/>
      <c r="AK3" s="138"/>
      <c r="AL3" s="466"/>
      <c r="AM3" s="467"/>
      <c r="AN3" s="468"/>
      <c r="AO3" s="469"/>
      <c r="AP3" s="469"/>
      <c r="AQ3" s="469"/>
      <c r="AR3" s="469"/>
      <c r="AS3" s="469"/>
      <c r="AT3" s="469"/>
      <c r="AU3" s="469"/>
      <c r="AV3" s="468"/>
      <c r="AW3" s="468"/>
      <c r="AX3" s="468"/>
      <c r="AY3" s="468"/>
      <c r="AZ3" s="126"/>
      <c r="BA3" s="126"/>
      <c r="BB3" s="126"/>
      <c r="BC3" s="126"/>
      <c r="BD3" s="126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s="503" customFormat="1" ht="19.5" customHeight="1">
      <c r="A4" s="465"/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137"/>
      <c r="AG4" s="137"/>
      <c r="AH4" s="137"/>
      <c r="AI4" s="137"/>
      <c r="AJ4" s="137"/>
      <c r="AK4" s="138"/>
      <c r="AL4" s="466"/>
      <c r="AM4" s="467"/>
      <c r="AN4" s="468"/>
      <c r="AO4" s="469"/>
      <c r="AP4" s="469"/>
      <c r="AQ4" s="469"/>
      <c r="AR4" s="469"/>
      <c r="AS4" s="469"/>
      <c r="AT4" s="469"/>
      <c r="AU4" s="469"/>
      <c r="AV4" s="468"/>
      <c r="AW4" s="468"/>
      <c r="AX4" s="468"/>
      <c r="AY4" s="468"/>
      <c r="AZ4" s="126"/>
      <c r="BA4" s="126"/>
      <c r="BB4" s="126"/>
      <c r="BC4" s="126"/>
      <c r="BD4" s="126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s="503" customFormat="1" ht="19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468"/>
      <c r="AM5" s="467"/>
      <c r="AN5" s="468"/>
      <c r="AO5" s="469"/>
      <c r="AP5" s="469"/>
      <c r="AQ5" s="469"/>
      <c r="AR5" s="469"/>
      <c r="AS5" s="469"/>
      <c r="AT5" s="469"/>
      <c r="AU5" s="469"/>
      <c r="AV5" s="468"/>
      <c r="AW5" s="468"/>
      <c r="AX5" s="468"/>
      <c r="AY5" s="468"/>
      <c r="AZ5" s="126"/>
      <c r="BA5" s="126"/>
      <c r="BB5" s="126"/>
      <c r="BC5" s="126"/>
      <c r="BD5" s="126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1:66" s="503" customFormat="1" ht="19.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6"/>
      <c r="M6" s="129"/>
      <c r="N6" s="129"/>
      <c r="O6" s="129"/>
      <c r="P6" s="129"/>
      <c r="Q6" s="129"/>
      <c r="R6" s="126"/>
      <c r="S6" s="129"/>
      <c r="T6" s="129"/>
      <c r="U6" s="129"/>
      <c r="V6" s="129"/>
      <c r="W6" s="129"/>
      <c r="X6" s="129"/>
      <c r="Y6" s="129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8"/>
      <c r="AL6" s="466"/>
      <c r="AM6" s="467"/>
      <c r="AN6" s="467"/>
      <c r="AO6" s="469"/>
      <c r="AP6" s="469"/>
      <c r="AQ6" s="469"/>
      <c r="AR6" s="469"/>
      <c r="AS6" s="469"/>
      <c r="AT6" s="469"/>
      <c r="AU6" s="469"/>
      <c r="AV6" s="470"/>
      <c r="AW6" s="467"/>
      <c r="AX6" s="467"/>
      <c r="AY6" s="468"/>
      <c r="AZ6" s="126"/>
      <c r="BA6" s="126"/>
      <c r="BB6" s="126"/>
      <c r="BC6" s="126"/>
      <c r="BD6" s="126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spans="1:66" s="503" customFormat="1" ht="27.75" customHeight="1">
      <c r="A7" s="137"/>
      <c r="B7" s="137"/>
      <c r="C7" s="137"/>
      <c r="D7" s="471"/>
      <c r="E7" s="471"/>
      <c r="F7" s="471"/>
      <c r="G7" s="472"/>
      <c r="H7" s="472"/>
      <c r="I7" s="472"/>
      <c r="J7" s="137"/>
      <c r="K7" s="137"/>
      <c r="L7" s="126"/>
      <c r="M7" s="126"/>
      <c r="N7" s="473"/>
      <c r="O7" s="473"/>
      <c r="P7" s="473"/>
      <c r="Q7" s="473"/>
      <c r="R7" s="126"/>
      <c r="S7" s="129"/>
      <c r="T7" s="129"/>
      <c r="U7" s="129"/>
      <c r="V7" s="129"/>
      <c r="W7" s="129"/>
      <c r="X7" s="129"/>
      <c r="Y7" s="129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139"/>
      <c r="AL7" s="466"/>
      <c r="AM7" s="467"/>
      <c r="AN7" s="475"/>
      <c r="AO7" s="469"/>
      <c r="AP7" s="469"/>
      <c r="AQ7" s="469"/>
      <c r="AR7" s="469"/>
      <c r="AS7" s="469"/>
      <c r="AT7" s="469"/>
      <c r="AU7" s="469"/>
      <c r="AV7" s="476"/>
      <c r="AW7" s="477"/>
      <c r="AX7" s="478"/>
      <c r="AY7" s="478"/>
      <c r="AZ7" s="126"/>
      <c r="BA7" s="126"/>
      <c r="BB7" s="126"/>
      <c r="BC7" s="126"/>
      <c r="BD7" s="126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66" s="503" customFormat="1" ht="19.5" customHeight="1">
      <c r="A8" s="137"/>
      <c r="B8" s="137"/>
      <c r="C8" s="137"/>
      <c r="D8" s="479"/>
      <c r="E8" s="479"/>
      <c r="F8" s="479"/>
      <c r="G8" s="472"/>
      <c r="H8" s="472"/>
      <c r="I8" s="472"/>
      <c r="J8" s="137"/>
      <c r="K8" s="137"/>
      <c r="L8" s="126"/>
      <c r="M8" s="126"/>
      <c r="N8" s="480"/>
      <c r="O8" s="480"/>
      <c r="P8" s="480"/>
      <c r="Q8" s="480"/>
      <c r="R8" s="126"/>
      <c r="S8" s="129"/>
      <c r="T8" s="129"/>
      <c r="U8" s="129"/>
      <c r="V8" s="129"/>
      <c r="W8" s="129"/>
      <c r="X8" s="129"/>
      <c r="Y8" s="129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140"/>
      <c r="AL8" s="468"/>
      <c r="AM8" s="482"/>
      <c r="AN8" s="475"/>
      <c r="AO8" s="467"/>
      <c r="AP8" s="483"/>
      <c r="AQ8" s="467"/>
      <c r="AR8" s="467"/>
      <c r="AS8" s="467"/>
      <c r="AT8" s="477"/>
      <c r="AU8" s="484"/>
      <c r="AV8" s="484"/>
      <c r="AW8" s="477"/>
      <c r="AX8" s="485"/>
      <c r="AY8" s="485"/>
      <c r="AZ8" s="126"/>
      <c r="BA8" s="126"/>
      <c r="BB8" s="126"/>
      <c r="BC8" s="126"/>
      <c r="BD8" s="126"/>
      <c r="BE8" s="2"/>
      <c r="BF8" s="2"/>
      <c r="BG8" s="2"/>
      <c r="BH8" s="2"/>
      <c r="BI8" s="2"/>
      <c r="BJ8" s="2"/>
      <c r="BK8" s="2"/>
      <c r="BL8" s="2"/>
      <c r="BM8" s="2"/>
      <c r="BN8" s="2"/>
    </row>
    <row r="9" spans="1:66" s="503" customFormat="1" ht="19.5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468"/>
      <c r="AM9" s="482"/>
      <c r="AN9" s="486"/>
      <c r="AO9" s="467"/>
      <c r="AP9" s="467"/>
      <c r="AQ9" s="467"/>
      <c r="AR9" s="467"/>
      <c r="AS9" s="467"/>
      <c r="AT9" s="477"/>
      <c r="AU9" s="468"/>
      <c r="AV9" s="468"/>
      <c r="AW9" s="477"/>
      <c r="AX9" s="468"/>
      <c r="AY9" s="468"/>
      <c r="AZ9" s="126"/>
      <c r="BA9" s="126"/>
      <c r="BB9" s="126"/>
      <c r="BC9" s="126"/>
      <c r="BD9" s="126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s="503" customFormat="1" ht="19.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6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8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s="503" customFormat="1" ht="19.5" customHeight="1">
      <c r="A11" s="137"/>
      <c r="B11" s="137"/>
      <c r="C11" s="137"/>
      <c r="D11" s="487"/>
      <c r="E11" s="487"/>
      <c r="F11" s="487"/>
      <c r="G11" s="487"/>
      <c r="H11" s="487"/>
      <c r="I11" s="487"/>
      <c r="J11" s="487"/>
      <c r="K11" s="487"/>
      <c r="L11" s="126"/>
      <c r="M11" s="137"/>
      <c r="N11" s="137"/>
      <c r="O11" s="128"/>
      <c r="P11" s="128"/>
      <c r="Q11" s="128"/>
      <c r="R11" s="126"/>
      <c r="S11" s="129"/>
      <c r="T11" s="129"/>
      <c r="U11" s="129"/>
      <c r="V11" s="129"/>
      <c r="W11" s="129"/>
      <c r="X11" s="129"/>
      <c r="Y11" s="129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8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2"/>
      <c r="BF11" s="2"/>
      <c r="BG11" s="2"/>
      <c r="BH11" s="2"/>
      <c r="BI11" s="2"/>
      <c r="BJ11" s="2"/>
      <c r="BK11" s="2"/>
      <c r="BL11" s="2"/>
      <c r="BM11" s="2"/>
      <c r="BN11" s="2"/>
    </row>
    <row r="12" spans="1:66" s="503" customFormat="1" ht="19.5" customHeight="1">
      <c r="A12" s="137"/>
      <c r="B12" s="137"/>
      <c r="C12" s="137"/>
      <c r="D12" s="487"/>
      <c r="E12" s="487"/>
      <c r="F12" s="487"/>
      <c r="G12" s="487"/>
      <c r="H12" s="487"/>
      <c r="I12" s="487"/>
      <c r="J12" s="487"/>
      <c r="K12" s="487"/>
      <c r="L12" s="126"/>
      <c r="M12" s="137"/>
      <c r="N12" s="137"/>
      <c r="O12" s="137"/>
      <c r="P12" s="137"/>
      <c r="Q12" s="137"/>
      <c r="R12" s="126"/>
      <c r="S12" s="129"/>
      <c r="T12" s="129"/>
      <c r="U12" s="129"/>
      <c r="V12" s="129"/>
      <c r="W12" s="129"/>
      <c r="X12" s="129"/>
      <c r="Y12" s="129"/>
      <c r="Z12" s="488"/>
      <c r="AA12" s="488"/>
      <c r="AB12" s="488"/>
      <c r="AC12" s="488"/>
      <c r="AD12" s="488"/>
      <c r="AE12" s="489"/>
      <c r="AF12" s="489"/>
      <c r="AG12" s="489"/>
      <c r="AH12" s="489"/>
      <c r="AI12" s="489"/>
      <c r="AJ12" s="489"/>
      <c r="AK12" s="490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2"/>
      <c r="BF12" s="2"/>
      <c r="BG12" s="64"/>
      <c r="BH12" s="64"/>
      <c r="BI12" s="64"/>
      <c r="BJ12" s="64"/>
      <c r="BK12" s="64"/>
      <c r="BL12" s="64"/>
      <c r="BM12" s="2"/>
      <c r="BN12" s="2"/>
    </row>
    <row r="13" spans="1:66" s="503" customFormat="1" ht="19.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2"/>
      <c r="BF13" s="2"/>
      <c r="BG13" s="558"/>
      <c r="BH13" s="558"/>
      <c r="BI13" s="558"/>
      <c r="BJ13" s="558"/>
      <c r="BK13" s="558"/>
      <c r="BL13" s="558"/>
      <c r="BM13" s="558"/>
      <c r="BN13" s="2"/>
    </row>
    <row r="14" spans="1:66" s="503" customFormat="1" ht="19.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2"/>
      <c r="BF14" s="2"/>
      <c r="BG14" s="559"/>
      <c r="BH14" s="559"/>
      <c r="BI14" s="559"/>
      <c r="BJ14" s="559"/>
      <c r="BK14" s="559"/>
      <c r="BL14" s="559"/>
      <c r="BM14" s="2"/>
      <c r="BN14" s="2"/>
    </row>
    <row r="15" spans="1:66" s="503" customFormat="1" ht="19.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48"/>
      <c r="N15" s="491"/>
      <c r="O15" s="137"/>
      <c r="P15" s="137"/>
      <c r="Q15" s="137"/>
      <c r="R15" s="137"/>
      <c r="S15" s="137"/>
      <c r="T15" s="137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2"/>
      <c r="BF15" s="2"/>
      <c r="BG15" s="2"/>
      <c r="BH15" s="2"/>
      <c r="BI15" s="2"/>
      <c r="BJ15" s="2"/>
      <c r="BK15" s="2"/>
      <c r="BL15" s="560"/>
      <c r="BM15" s="2"/>
      <c r="BN15" s="2"/>
    </row>
    <row r="16" spans="1:66" s="503" customFormat="1" ht="19.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48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66" s="503" customFormat="1" ht="19.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48"/>
      <c r="N17" s="492"/>
      <c r="O17" s="133"/>
      <c r="P17" s="133"/>
      <c r="Q17" s="133"/>
      <c r="R17" s="133"/>
      <c r="S17" s="133"/>
      <c r="T17" s="133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6" s="503" customFormat="1" ht="19.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48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19" spans="1:66" s="503" customFormat="1" ht="27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48"/>
      <c r="N19" s="491"/>
      <c r="O19" s="137"/>
      <c r="P19" s="137"/>
      <c r="Q19" s="137"/>
      <c r="R19" s="137"/>
      <c r="S19" s="137"/>
      <c r="T19" s="137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493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1:66" s="503" customFormat="1" ht="19.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48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516"/>
      <c r="AQ20" s="516"/>
      <c r="AR20" s="516"/>
      <c r="AS20" s="516"/>
      <c r="AT20" s="516"/>
      <c r="AU20" s="516"/>
      <c r="AV20" s="517" t="s">
        <v>2</v>
      </c>
      <c r="AW20" s="856"/>
      <c r="AX20" s="856"/>
      <c r="AY20" s="856"/>
      <c r="AZ20" s="856"/>
      <c r="BA20" s="856"/>
      <c r="BB20" s="856"/>
      <c r="BC20" s="856"/>
      <c r="BD20" s="856"/>
      <c r="BE20" s="552"/>
      <c r="BF20" s="2"/>
      <c r="BG20" s="2"/>
      <c r="BH20" s="2"/>
      <c r="BI20" s="2"/>
      <c r="BJ20" s="2"/>
      <c r="BK20" s="2"/>
      <c r="BL20" s="2"/>
      <c r="BM20" s="2"/>
      <c r="BN20" s="2"/>
    </row>
    <row r="21" spans="1:66" s="503" customFormat="1" ht="19.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48"/>
      <c r="N21" s="491"/>
      <c r="O21" s="137"/>
      <c r="P21" s="137"/>
      <c r="Q21" s="137"/>
      <c r="R21" s="137"/>
      <c r="S21" s="137"/>
      <c r="T21" s="137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494"/>
      <c r="AQ21" s="494"/>
      <c r="AR21" s="494"/>
      <c r="AS21" s="494"/>
      <c r="AT21" s="494"/>
      <c r="AU21" s="494"/>
      <c r="AV21" s="265"/>
      <c r="AW21" s="857"/>
      <c r="AX21" s="857"/>
      <c r="AY21" s="857"/>
      <c r="AZ21" s="857"/>
      <c r="BA21" s="857"/>
      <c r="BB21" s="857"/>
      <c r="BC21" s="857"/>
      <c r="BD21" s="857"/>
      <c r="BE21" s="553"/>
      <c r="BF21" s="2"/>
      <c r="BG21" s="2"/>
      <c r="BH21" s="2"/>
      <c r="BI21" s="2"/>
      <c r="BJ21" s="2"/>
      <c r="BK21" s="2"/>
      <c r="BL21" s="2"/>
      <c r="BM21" s="2"/>
      <c r="BN21" s="2"/>
    </row>
    <row r="22" spans="1:66" s="503" customFormat="1" ht="19.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48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494"/>
      <c r="AQ22" s="494"/>
      <c r="AR22" s="494"/>
      <c r="AS22" s="494"/>
      <c r="AT22" s="494"/>
      <c r="AU22" s="518"/>
      <c r="AV22" s="519" t="s">
        <v>286</v>
      </c>
      <c r="AW22" s="858"/>
      <c r="AX22" s="858"/>
      <c r="AY22" s="858"/>
      <c r="AZ22" s="858"/>
      <c r="BA22" s="858"/>
      <c r="BB22" s="858"/>
      <c r="BC22" s="858"/>
      <c r="BD22" s="858"/>
      <c r="BE22" s="554"/>
      <c r="BF22" s="2"/>
      <c r="BG22" s="2"/>
      <c r="BH22" s="2"/>
      <c r="BI22" s="2"/>
      <c r="BJ22" s="2"/>
      <c r="BK22" s="2"/>
      <c r="BL22" s="2"/>
      <c r="BM22" s="2"/>
      <c r="BN22" s="2"/>
    </row>
    <row r="23" spans="1:66" s="503" customFormat="1" ht="19.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48"/>
      <c r="N23" s="491"/>
      <c r="O23" s="137"/>
      <c r="P23" s="137"/>
      <c r="Q23" s="137"/>
      <c r="R23" s="137"/>
      <c r="S23" s="137"/>
      <c r="T23" s="137"/>
      <c r="U23" s="495"/>
      <c r="V23" s="495"/>
      <c r="W23" s="137"/>
      <c r="X23" s="137"/>
      <c r="Y23" s="137"/>
      <c r="Z23" s="137"/>
      <c r="AA23" s="137"/>
      <c r="AB23" s="137"/>
      <c r="AC23" s="126"/>
      <c r="AD23" s="137"/>
      <c r="AE23" s="137"/>
      <c r="AF23" s="137"/>
      <c r="AG23" s="137"/>
      <c r="AH23" s="137"/>
      <c r="AI23" s="137"/>
      <c r="AJ23" s="137"/>
      <c r="AK23" s="141"/>
      <c r="AL23" s="126"/>
      <c r="AM23" s="126"/>
      <c r="AN23" s="126"/>
      <c r="AO23" s="126"/>
      <c r="AP23" s="109"/>
      <c r="AQ23" s="110"/>
      <c r="AR23" s="109"/>
      <c r="AS23" s="109"/>
      <c r="AT23" s="109"/>
      <c r="AU23" s="109"/>
      <c r="AV23" s="109"/>
      <c r="AW23" s="859"/>
      <c r="AX23" s="859"/>
      <c r="AY23" s="859"/>
      <c r="AZ23" s="859"/>
      <c r="BA23" s="859"/>
      <c r="BB23" s="859"/>
      <c r="BC23" s="859"/>
      <c r="BD23" s="859"/>
      <c r="BE23" s="555"/>
      <c r="BF23" s="2"/>
      <c r="BG23" s="2"/>
      <c r="BH23" s="2"/>
      <c r="BI23" s="2"/>
      <c r="BJ23" s="2"/>
      <c r="BK23" s="2"/>
      <c r="BL23" s="2"/>
      <c r="BM23" s="2"/>
      <c r="BN23" s="2"/>
    </row>
    <row r="24" spans="1:66" s="503" customFormat="1" ht="19.5" customHeigh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48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41"/>
      <c r="AE24" s="141"/>
      <c r="AF24" s="141"/>
      <c r="AG24" s="141"/>
      <c r="AH24" s="141"/>
      <c r="AI24" s="141"/>
      <c r="AJ24" s="141"/>
      <c r="AK24" s="141"/>
      <c r="AL24" s="126"/>
      <c r="AM24" s="126"/>
      <c r="AN24" s="126"/>
      <c r="AO24" s="126"/>
      <c r="AP24" s="109"/>
      <c r="AQ24" s="109"/>
      <c r="AR24" s="109"/>
      <c r="AS24" s="109"/>
      <c r="AT24" s="109"/>
      <c r="AU24" s="109"/>
      <c r="AV24" s="266" t="s">
        <v>221</v>
      </c>
      <c r="AW24" s="860"/>
      <c r="AX24" s="860"/>
      <c r="AY24" s="860"/>
      <c r="AZ24" s="861"/>
      <c r="BA24" s="861"/>
      <c r="BB24" s="861"/>
      <c r="BC24" s="861"/>
      <c r="BD24" s="861"/>
      <c r="BE24" s="556"/>
      <c r="BF24" s="2"/>
      <c r="BG24" s="2"/>
      <c r="BH24" s="2"/>
      <c r="BI24" s="2"/>
      <c r="BJ24" s="2"/>
      <c r="BK24" s="2"/>
      <c r="BL24" s="2"/>
      <c r="BM24" s="2"/>
      <c r="BN24" s="2"/>
    </row>
    <row r="25" spans="1:66" s="503" customFormat="1" ht="19.5" customHeight="1">
      <c r="A25" s="847" t="s">
        <v>438</v>
      </c>
      <c r="B25" s="847"/>
      <c r="C25" s="847"/>
      <c r="D25" s="847"/>
      <c r="E25" s="847"/>
      <c r="F25" s="847"/>
      <c r="G25" s="847"/>
      <c r="H25" s="847"/>
      <c r="I25" s="137"/>
      <c r="J25" s="137"/>
      <c r="K25" s="137"/>
      <c r="L25" s="137"/>
      <c r="M25" s="148"/>
      <c r="N25" s="133"/>
      <c r="O25" s="133"/>
      <c r="P25" s="133"/>
      <c r="Q25" s="133"/>
      <c r="R25" s="133"/>
      <c r="S25" s="133"/>
      <c r="T25" s="133"/>
      <c r="U25" s="126"/>
      <c r="V25" s="126"/>
      <c r="W25" s="137"/>
      <c r="X25" s="137"/>
      <c r="Y25" s="137"/>
      <c r="Z25" s="137"/>
      <c r="AA25" s="137"/>
      <c r="AB25" s="137"/>
      <c r="AC25" s="126"/>
      <c r="AD25" s="137"/>
      <c r="AE25" s="137"/>
      <c r="AF25" s="137"/>
      <c r="AG25" s="137"/>
      <c r="AH25" s="137"/>
      <c r="AI25" s="137"/>
      <c r="AJ25" s="137"/>
      <c r="AK25" s="141"/>
      <c r="AL25" s="126"/>
      <c r="AM25" s="126"/>
      <c r="AN25" s="126"/>
      <c r="AO25" s="845" t="s">
        <v>284</v>
      </c>
      <c r="AP25" s="845"/>
      <c r="AQ25" s="845"/>
      <c r="AR25" s="845"/>
      <c r="AS25" s="845"/>
      <c r="AT25" s="845"/>
      <c r="AU25" s="845"/>
      <c r="AV25" s="845"/>
      <c r="AW25" s="843"/>
      <c r="AX25" s="843"/>
      <c r="AY25" s="843"/>
      <c r="AZ25" s="843"/>
      <c r="BA25" s="843"/>
      <c r="BB25" s="843"/>
      <c r="BC25" s="843"/>
      <c r="BD25" s="843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1:66" s="503" customFormat="1" ht="19.5" customHeight="1">
      <c r="A26" s="848"/>
      <c r="B26" s="848"/>
      <c r="C26" s="848"/>
      <c r="D26" s="848"/>
      <c r="E26" s="848"/>
      <c r="F26" s="848"/>
      <c r="G26" s="848"/>
      <c r="H26" s="848"/>
      <c r="I26" s="127"/>
      <c r="J26" s="127"/>
      <c r="K26" s="127"/>
      <c r="L26" s="127"/>
      <c r="M26" s="496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497"/>
      <c r="AE26" s="497"/>
      <c r="AF26" s="497"/>
      <c r="AG26" s="497"/>
      <c r="AH26" s="497"/>
      <c r="AI26" s="497"/>
      <c r="AJ26" s="497"/>
      <c r="AK26" s="497"/>
      <c r="AL26" s="127"/>
      <c r="AM26" s="127"/>
      <c r="AN26" s="127"/>
      <c r="AO26" s="846"/>
      <c r="AP26" s="846"/>
      <c r="AQ26" s="846"/>
      <c r="AR26" s="846"/>
      <c r="AS26" s="846"/>
      <c r="AT26" s="846"/>
      <c r="AU26" s="846"/>
      <c r="AV26" s="846"/>
      <c r="AW26" s="844"/>
      <c r="AX26" s="844"/>
      <c r="AY26" s="844"/>
      <c r="AZ26" s="844"/>
      <c r="BA26" s="844"/>
      <c r="BB26" s="844"/>
      <c r="BC26" s="844"/>
      <c r="BD26" s="844"/>
      <c r="BE26" s="557"/>
      <c r="BF26" s="2"/>
      <c r="BG26" s="2"/>
      <c r="BH26" s="2"/>
      <c r="BI26" s="2"/>
      <c r="BJ26" s="2"/>
      <c r="BK26" s="2"/>
      <c r="BL26" s="2"/>
      <c r="BM26" s="2"/>
      <c r="BN26" s="2"/>
    </row>
    <row r="27" spans="1:66" s="503" customFormat="1" ht="6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48"/>
      <c r="N27" s="491"/>
      <c r="O27" s="137"/>
      <c r="P27" s="137"/>
      <c r="Q27" s="137"/>
      <c r="R27" s="137"/>
      <c r="S27" s="137"/>
      <c r="T27" s="137"/>
      <c r="U27" s="126"/>
      <c r="V27" s="126"/>
      <c r="W27" s="137"/>
      <c r="X27" s="137"/>
      <c r="Y27" s="137"/>
      <c r="Z27" s="137"/>
      <c r="AA27" s="137"/>
      <c r="AB27" s="137"/>
      <c r="AC27" s="126"/>
      <c r="AD27" s="137"/>
      <c r="AE27" s="137"/>
      <c r="AF27" s="137"/>
      <c r="AG27" s="137"/>
      <c r="AH27" s="137"/>
      <c r="AI27" s="137"/>
      <c r="AJ27" s="137"/>
      <c r="AK27" s="141"/>
      <c r="AL27" s="126"/>
      <c r="AM27" s="126"/>
      <c r="AN27" s="126"/>
      <c r="AO27" s="126"/>
      <c r="AP27" s="126"/>
      <c r="AQ27" s="493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2"/>
      <c r="BF27" s="2"/>
      <c r="BG27" s="2"/>
      <c r="BH27" s="2"/>
      <c r="BI27" s="2"/>
      <c r="BJ27" s="2"/>
      <c r="BK27" s="2"/>
      <c r="BL27" s="2"/>
      <c r="BM27" s="2"/>
      <c r="BN27" s="2"/>
    </row>
    <row r="28" spans="30:37" ht="19.5" customHeight="1" hidden="1">
      <c r="AD28" s="141"/>
      <c r="AE28" s="141"/>
      <c r="AF28" s="141"/>
      <c r="AG28" s="141"/>
      <c r="AH28" s="141"/>
      <c r="AI28" s="141"/>
      <c r="AJ28" s="141"/>
      <c r="AK28" s="141"/>
    </row>
    <row r="29" spans="23:37" ht="19.5" customHeight="1" hidden="1">
      <c r="W29" s="137"/>
      <c r="X29" s="137"/>
      <c r="Y29" s="137"/>
      <c r="Z29" s="137"/>
      <c r="AA29" s="137"/>
      <c r="AB29" s="137"/>
      <c r="AD29" s="137"/>
      <c r="AE29" s="137"/>
      <c r="AF29" s="137"/>
      <c r="AG29" s="137"/>
      <c r="AH29" s="137"/>
      <c r="AI29" s="137"/>
      <c r="AJ29" s="137"/>
      <c r="AK29" s="141"/>
    </row>
    <row r="30" spans="30:37" ht="19.5" customHeight="1" hidden="1">
      <c r="AD30" s="141"/>
      <c r="AE30" s="141"/>
      <c r="AF30" s="141"/>
      <c r="AG30" s="141"/>
      <c r="AH30" s="141"/>
      <c r="AI30" s="141"/>
      <c r="AJ30" s="141"/>
      <c r="AK30" s="141"/>
    </row>
    <row r="31" spans="23:37" ht="19.5" customHeight="1" hidden="1">
      <c r="W31" s="137"/>
      <c r="X31" s="137"/>
      <c r="Y31" s="137"/>
      <c r="Z31" s="137"/>
      <c r="AA31" s="137"/>
      <c r="AB31" s="137"/>
      <c r="AD31" s="137"/>
      <c r="AE31" s="137"/>
      <c r="AF31" s="137"/>
      <c r="AG31" s="137"/>
      <c r="AH31" s="137"/>
      <c r="AI31" s="137"/>
      <c r="AJ31" s="137"/>
      <c r="AK31" s="141"/>
    </row>
    <row r="32" ht="19.5" customHeight="1" hidden="1"/>
    <row r="33" spans="1:37" ht="19.5" customHeight="1" hidden="1">
      <c r="A33" s="137"/>
      <c r="B33" s="137"/>
      <c r="C33" s="137"/>
      <c r="D33" s="137"/>
      <c r="E33" s="137"/>
      <c r="F33" s="137"/>
      <c r="G33" s="137"/>
      <c r="H33" s="498"/>
      <c r="I33" s="498"/>
      <c r="J33" s="498"/>
      <c r="K33" s="498"/>
      <c r="L33" s="498"/>
      <c r="M33" s="499"/>
      <c r="N33" s="49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2"/>
    </row>
    <row r="34" spans="1:37" ht="19.5" customHeight="1" hidden="1">
      <c r="A34" s="137"/>
      <c r="B34" s="137"/>
      <c r="C34" s="137"/>
      <c r="D34" s="137"/>
      <c r="E34" s="137"/>
      <c r="F34" s="137"/>
      <c r="G34" s="137"/>
      <c r="H34" s="135"/>
      <c r="I34" s="135"/>
      <c r="J34" s="135"/>
      <c r="K34" s="135"/>
      <c r="L34" s="135"/>
      <c r="M34" s="499"/>
      <c r="N34" s="49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2"/>
    </row>
    <row r="35" ht="19.5" customHeight="1" hidden="1"/>
    <row r="36" spans="2:57" ht="19.5" customHeight="1" hidden="1"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43"/>
      <c r="AZ36" s="500"/>
      <c r="BA36" s="149"/>
      <c r="BB36" s="149"/>
      <c r="BC36" s="149"/>
      <c r="BD36" s="149"/>
      <c r="BE36" s="65"/>
    </row>
    <row r="37" spans="2:57" ht="19.5" customHeight="1" hidden="1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501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44"/>
      <c r="BA37" s="149"/>
      <c r="BB37" s="149"/>
      <c r="BC37" s="149"/>
      <c r="BD37" s="149"/>
      <c r="BE37" s="65"/>
    </row>
    <row r="38" spans="1:57" ht="19.5" customHeight="1" hidden="1">
      <c r="A38" s="501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502"/>
      <c r="N38" s="502"/>
      <c r="O38" s="502"/>
      <c r="P38" s="502"/>
      <c r="Q38" s="502"/>
      <c r="R38" s="135"/>
      <c r="S38" s="135"/>
      <c r="T38" s="135"/>
      <c r="U38" s="135"/>
      <c r="V38" s="135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8"/>
      <c r="AZ38" s="500"/>
      <c r="BA38" s="149"/>
      <c r="BB38" s="149"/>
      <c r="BC38" s="149"/>
      <c r="BD38" s="149"/>
      <c r="BE38" s="65"/>
    </row>
    <row r="39" spans="1:57" ht="19.5" customHeight="1" hidden="1">
      <c r="A39" s="501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502"/>
      <c r="N39" s="502"/>
      <c r="O39" s="502"/>
      <c r="P39" s="502"/>
      <c r="Q39" s="502"/>
      <c r="R39" s="135"/>
      <c r="S39" s="135"/>
      <c r="T39" s="135"/>
      <c r="U39" s="135"/>
      <c r="V39" s="135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8"/>
      <c r="AZ39" s="500"/>
      <c r="BA39" s="149"/>
      <c r="BB39" s="149"/>
      <c r="BC39" s="149"/>
      <c r="BD39" s="149"/>
      <c r="BE39" s="65"/>
    </row>
    <row r="40" spans="1:57" ht="19.5" customHeight="1" hidden="1">
      <c r="A40" s="501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502"/>
      <c r="N40" s="502"/>
      <c r="O40" s="502"/>
      <c r="P40" s="502"/>
      <c r="Q40" s="502"/>
      <c r="R40" s="135"/>
      <c r="S40" s="135"/>
      <c r="T40" s="135"/>
      <c r="U40" s="135"/>
      <c r="V40" s="135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8"/>
      <c r="AZ40" s="500"/>
      <c r="BA40" s="149"/>
      <c r="BB40" s="149"/>
      <c r="BC40" s="149"/>
      <c r="BD40" s="149"/>
      <c r="BE40" s="65"/>
    </row>
    <row r="41" spans="1:57" ht="19.5" customHeight="1" hidden="1">
      <c r="A41" s="501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502"/>
      <c r="N41" s="502"/>
      <c r="O41" s="502"/>
      <c r="P41" s="502"/>
      <c r="Q41" s="502"/>
      <c r="R41" s="135"/>
      <c r="S41" s="135"/>
      <c r="T41" s="135"/>
      <c r="U41" s="135"/>
      <c r="V41" s="135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8"/>
      <c r="AZ41" s="500"/>
      <c r="BA41" s="149"/>
      <c r="BB41" s="149"/>
      <c r="BC41" s="149"/>
      <c r="BD41" s="149"/>
      <c r="BE41" s="65"/>
    </row>
    <row r="42" spans="1:57" ht="19.5" customHeight="1" hidden="1">
      <c r="A42" s="501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502"/>
      <c r="N42" s="502"/>
      <c r="O42" s="502"/>
      <c r="P42" s="502"/>
      <c r="Q42" s="502"/>
      <c r="R42" s="135"/>
      <c r="S42" s="135"/>
      <c r="T42" s="135"/>
      <c r="U42" s="135"/>
      <c r="V42" s="135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8"/>
      <c r="AZ42" s="500"/>
      <c r="BA42" s="149"/>
      <c r="BB42" s="149"/>
      <c r="BC42" s="149"/>
      <c r="BD42" s="149"/>
      <c r="BE42" s="65"/>
    </row>
    <row r="43" spans="1:57" ht="19.5" customHeight="1" hidden="1">
      <c r="A43" s="501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502"/>
      <c r="N43" s="502"/>
      <c r="O43" s="502"/>
      <c r="P43" s="502"/>
      <c r="Q43" s="502"/>
      <c r="R43" s="135"/>
      <c r="S43" s="135"/>
      <c r="T43" s="135"/>
      <c r="U43" s="135"/>
      <c r="V43" s="135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8"/>
      <c r="AZ43" s="500"/>
      <c r="BA43" s="149"/>
      <c r="BB43" s="149"/>
      <c r="BC43" s="149"/>
      <c r="BD43" s="149"/>
      <c r="BE43" s="65"/>
    </row>
    <row r="44" spans="1:57" ht="19.5" customHeight="1" hidden="1">
      <c r="A44" s="501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502"/>
      <c r="N44" s="502"/>
      <c r="O44" s="502"/>
      <c r="P44" s="502"/>
      <c r="Q44" s="502"/>
      <c r="R44" s="135"/>
      <c r="S44" s="135"/>
      <c r="T44" s="135"/>
      <c r="U44" s="135"/>
      <c r="V44" s="135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8"/>
      <c r="AZ44" s="500"/>
      <c r="BA44" s="149"/>
      <c r="BB44" s="149"/>
      <c r="BC44" s="149"/>
      <c r="BD44" s="149"/>
      <c r="BE44" s="65"/>
    </row>
  </sheetData>
  <sheetProtection password="C661" sheet="1" objects="1" scenarios="1" selectLockedCells="1"/>
  <mergeCells count="10">
    <mergeCell ref="A25:H26"/>
    <mergeCell ref="AO25:AV26"/>
    <mergeCell ref="AW25:BD26"/>
    <mergeCell ref="A1:S1"/>
    <mergeCell ref="AW20:BD20"/>
    <mergeCell ref="AW21:BD21"/>
    <mergeCell ref="AW22:BD22"/>
    <mergeCell ref="AW23:BD23"/>
    <mergeCell ref="AW24:AY24"/>
    <mergeCell ref="AZ24:BD24"/>
  </mergeCells>
  <conditionalFormatting sqref="B38:V38">
    <cfRule type="expression" priority="2" dxfId="19">
      <formula>IF($AM38=TRUE,1,0)</formula>
    </cfRule>
  </conditionalFormatting>
  <conditionalFormatting sqref="B39:V44">
    <cfRule type="expression" priority="1" dxfId="19">
      <formula>IF($AM39=TRUE,1,0)</formula>
    </cfRule>
  </conditionalFormatting>
  <dataValidations count="3">
    <dataValidation type="list" allowBlank="1" showInputMessage="1" showErrorMessage="1" sqref="BM13">
      <formula1>'Plotting Sheet (empty)'!#REF!</formula1>
    </dataValidation>
    <dataValidation type="list" allowBlank="1" showInputMessage="1" showErrorMessage="1" sqref="O12:Q12">
      <formula1>"AM,PM"</formula1>
    </dataValidation>
    <dataValidation type="decimal" allowBlank="1" showInputMessage="1" showErrorMessage="1" sqref="G7:I8">
      <formula1>0</formula1>
      <formula2>59.99</formula2>
    </dataValidation>
  </dataValidations>
  <printOptions horizontalCentered="1" verticalCentered="1"/>
  <pageMargins left="0.2" right="0.2" top="0.1968503937007874" bottom="0.2" header="0" footer="0"/>
  <pageSetup fitToHeight="0" fitToWidth="1" orientation="landscape" paperSize="9" scale="9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tt7"/>
  <dimension ref="A1:BA134"/>
  <sheetViews>
    <sheetView zoomScalePageLayoutView="0" workbookViewId="0" topLeftCell="A1">
      <selection activeCell="V4" sqref="A1:IV16384"/>
    </sheetView>
  </sheetViews>
  <sheetFormatPr defaultColWidth="0" defaultRowHeight="15.75" zeroHeight="1"/>
  <cols>
    <col min="1" max="1" width="1.4921875" style="202" customWidth="1"/>
    <col min="2" max="2" width="5.625" style="202" customWidth="1"/>
    <col min="3" max="3" width="5.625" style="405" customWidth="1"/>
    <col min="4" max="36" width="5.625" style="202" customWidth="1"/>
    <col min="37" max="37" width="1.4921875" style="202" customWidth="1"/>
    <col min="38" max="53" width="0" style="202" hidden="1" customWidth="1"/>
    <col min="54" max="16384" width="10.875" style="202" hidden="1" customWidth="1"/>
  </cols>
  <sheetData>
    <row r="1" s="310" customFormat="1" ht="9" customHeight="1">
      <c r="C1" s="353"/>
    </row>
    <row r="2" spans="1:37" ht="26.25">
      <c r="A2" s="310"/>
      <c r="B2" s="310"/>
      <c r="C2" s="871" t="s">
        <v>198</v>
      </c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  <c r="O2" s="871"/>
      <c r="P2" s="871"/>
      <c r="Q2" s="871"/>
      <c r="R2" s="871"/>
      <c r="S2" s="871"/>
      <c r="T2" s="871"/>
      <c r="U2" s="871"/>
      <c r="V2" s="871"/>
      <c r="W2" s="871"/>
      <c r="X2" s="871"/>
      <c r="Y2" s="871"/>
      <c r="Z2" s="871"/>
      <c r="AA2" s="871"/>
      <c r="AB2" s="871"/>
      <c r="AC2" s="871"/>
      <c r="AD2" s="871"/>
      <c r="AE2" s="871"/>
      <c r="AF2" s="871"/>
      <c r="AG2" s="871"/>
      <c r="AH2" s="871"/>
      <c r="AI2" s="871"/>
      <c r="AJ2" s="310"/>
      <c r="AK2" s="310"/>
    </row>
    <row r="3" spans="1:37" s="357" customFormat="1" ht="24.75" customHeight="1" thickBot="1">
      <c r="A3" s="354"/>
      <c r="B3" s="354"/>
      <c r="C3" s="355"/>
      <c r="D3" s="356"/>
      <c r="E3" s="356"/>
      <c r="F3" s="356"/>
      <c r="G3" s="872" t="s">
        <v>199</v>
      </c>
      <c r="H3" s="872"/>
      <c r="I3" s="872"/>
      <c r="J3" s="872"/>
      <c r="K3" s="872"/>
      <c r="L3" s="872"/>
      <c r="M3" s="872"/>
      <c r="N3" s="872"/>
      <c r="O3" s="872"/>
      <c r="P3" s="872"/>
      <c r="Q3" s="872"/>
      <c r="R3" s="872"/>
      <c r="S3" s="872"/>
      <c r="T3" s="872"/>
      <c r="U3" s="872"/>
      <c r="V3" s="872"/>
      <c r="W3" s="872"/>
      <c r="X3" s="872"/>
      <c r="Y3" s="872"/>
      <c r="Z3" s="872"/>
      <c r="AA3" s="872"/>
      <c r="AB3" s="872"/>
      <c r="AC3" s="872"/>
      <c r="AD3" s="872"/>
      <c r="AE3" s="872"/>
      <c r="AF3" s="354"/>
      <c r="AG3" s="354"/>
      <c r="AH3" s="354"/>
      <c r="AI3" s="354"/>
      <c r="AJ3" s="354"/>
      <c r="AK3" s="354"/>
    </row>
    <row r="4" spans="1:37" s="361" customFormat="1" ht="18.75" customHeight="1">
      <c r="A4" s="358"/>
      <c r="B4" s="358"/>
      <c r="C4" s="359"/>
      <c r="D4" s="358"/>
      <c r="E4" s="358"/>
      <c r="F4" s="358"/>
      <c r="G4" s="360" t="s">
        <v>186</v>
      </c>
      <c r="H4" s="862" t="s">
        <v>187</v>
      </c>
      <c r="I4" s="863"/>
      <c r="J4" s="862" t="s">
        <v>188</v>
      </c>
      <c r="K4" s="863"/>
      <c r="L4" s="862" t="s">
        <v>189</v>
      </c>
      <c r="M4" s="863"/>
      <c r="N4" s="862" t="s">
        <v>202</v>
      </c>
      <c r="O4" s="863"/>
      <c r="P4" s="862" t="s">
        <v>190</v>
      </c>
      <c r="Q4" s="863"/>
      <c r="R4" s="862" t="s">
        <v>191</v>
      </c>
      <c r="S4" s="863"/>
      <c r="T4" s="862" t="s">
        <v>192</v>
      </c>
      <c r="U4" s="863"/>
      <c r="V4" s="862" t="s">
        <v>193</v>
      </c>
      <c r="W4" s="863"/>
      <c r="X4" s="862" t="s">
        <v>194</v>
      </c>
      <c r="Y4" s="863"/>
      <c r="Z4" s="862" t="s">
        <v>195</v>
      </c>
      <c r="AA4" s="863"/>
      <c r="AB4" s="862" t="s">
        <v>196</v>
      </c>
      <c r="AC4" s="863"/>
      <c r="AD4" s="862" t="s">
        <v>197</v>
      </c>
      <c r="AE4" s="866"/>
      <c r="AF4" s="358"/>
      <c r="AG4" s="358"/>
      <c r="AH4" s="358"/>
      <c r="AI4" s="358"/>
      <c r="AJ4" s="358"/>
      <c r="AK4" s="358"/>
    </row>
    <row r="5" spans="1:37" s="368" customFormat="1" ht="18.75">
      <c r="A5" s="362"/>
      <c r="B5" s="362"/>
      <c r="C5" s="363"/>
      <c r="D5" s="362"/>
      <c r="E5" s="362"/>
      <c r="F5" s="362"/>
      <c r="G5" s="364"/>
      <c r="H5" s="365" t="s">
        <v>200</v>
      </c>
      <c r="I5" s="366" t="s">
        <v>201</v>
      </c>
      <c r="J5" s="365" t="s">
        <v>200</v>
      </c>
      <c r="K5" s="366" t="s">
        <v>201</v>
      </c>
      <c r="L5" s="365" t="s">
        <v>200</v>
      </c>
      <c r="M5" s="366" t="s">
        <v>201</v>
      </c>
      <c r="N5" s="365" t="s">
        <v>200</v>
      </c>
      <c r="O5" s="366" t="s">
        <v>201</v>
      </c>
      <c r="P5" s="365" t="s">
        <v>200</v>
      </c>
      <c r="Q5" s="366" t="s">
        <v>201</v>
      </c>
      <c r="R5" s="365" t="s">
        <v>200</v>
      </c>
      <c r="S5" s="366" t="s">
        <v>201</v>
      </c>
      <c r="T5" s="365" t="s">
        <v>200</v>
      </c>
      <c r="U5" s="366" t="s">
        <v>201</v>
      </c>
      <c r="V5" s="365" t="s">
        <v>200</v>
      </c>
      <c r="W5" s="366" t="s">
        <v>201</v>
      </c>
      <c r="X5" s="365" t="s">
        <v>200</v>
      </c>
      <c r="Y5" s="366" t="s">
        <v>201</v>
      </c>
      <c r="Z5" s="365" t="s">
        <v>200</v>
      </c>
      <c r="AA5" s="366" t="s">
        <v>201</v>
      </c>
      <c r="AB5" s="365" t="s">
        <v>200</v>
      </c>
      <c r="AC5" s="366" t="s">
        <v>201</v>
      </c>
      <c r="AD5" s="365" t="s">
        <v>200</v>
      </c>
      <c r="AE5" s="367" t="s">
        <v>201</v>
      </c>
      <c r="AF5" s="362"/>
      <c r="AG5" s="362"/>
      <c r="AH5" s="362"/>
      <c r="AI5" s="362"/>
      <c r="AJ5" s="362"/>
      <c r="AK5" s="362"/>
    </row>
    <row r="6" spans="1:37" ht="15.75">
      <c r="A6" s="310"/>
      <c r="B6" s="310"/>
      <c r="C6" s="353"/>
      <c r="D6" s="310"/>
      <c r="E6" s="310"/>
      <c r="F6" s="310"/>
      <c r="G6" s="369">
        <v>2001</v>
      </c>
      <c r="H6" s="370">
        <v>100</v>
      </c>
      <c r="I6" s="325">
        <v>43</v>
      </c>
      <c r="J6" s="370">
        <v>131</v>
      </c>
      <c r="K6" s="325">
        <v>16</v>
      </c>
      <c r="L6" s="370">
        <v>158</v>
      </c>
      <c r="M6" s="325">
        <v>52</v>
      </c>
      <c r="N6" s="370">
        <v>189</v>
      </c>
      <c r="O6" s="325">
        <v>25</v>
      </c>
      <c r="P6" s="370">
        <v>218</v>
      </c>
      <c r="Q6" s="325">
        <v>59</v>
      </c>
      <c r="R6" s="370">
        <v>249</v>
      </c>
      <c r="S6" s="325">
        <v>33</v>
      </c>
      <c r="T6" s="370">
        <v>279</v>
      </c>
      <c r="U6" s="325">
        <v>7</v>
      </c>
      <c r="V6" s="370">
        <v>309</v>
      </c>
      <c r="W6" s="325">
        <v>40</v>
      </c>
      <c r="X6" s="370">
        <v>340</v>
      </c>
      <c r="Y6" s="325">
        <v>13</v>
      </c>
      <c r="Z6" s="370">
        <v>9</v>
      </c>
      <c r="AA6" s="325">
        <v>48</v>
      </c>
      <c r="AB6" s="370">
        <v>40</v>
      </c>
      <c r="AC6" s="325">
        <v>21</v>
      </c>
      <c r="AD6" s="370">
        <v>69</v>
      </c>
      <c r="AE6" s="371">
        <v>55</v>
      </c>
      <c r="AF6" s="310"/>
      <c r="AG6" s="310"/>
      <c r="AH6" s="310"/>
      <c r="AI6" s="310"/>
      <c r="AJ6" s="310"/>
      <c r="AK6" s="310"/>
    </row>
    <row r="7" spans="1:37" ht="15.75">
      <c r="A7" s="310"/>
      <c r="B7" s="310"/>
      <c r="C7" s="353"/>
      <c r="D7" s="310"/>
      <c r="E7" s="310"/>
      <c r="F7" s="310"/>
      <c r="G7" s="369">
        <v>2002</v>
      </c>
      <c r="H7" s="370">
        <v>100</v>
      </c>
      <c r="I7" s="325">
        <v>28</v>
      </c>
      <c r="J7" s="370">
        <v>131</v>
      </c>
      <c r="K7" s="325">
        <v>2</v>
      </c>
      <c r="L7" s="370">
        <v>158</v>
      </c>
      <c r="M7" s="325">
        <v>38</v>
      </c>
      <c r="N7" s="370">
        <v>189</v>
      </c>
      <c r="O7" s="325">
        <v>11</v>
      </c>
      <c r="P7" s="370">
        <v>218</v>
      </c>
      <c r="Q7" s="325">
        <v>45</v>
      </c>
      <c r="R7" s="370">
        <v>249</v>
      </c>
      <c r="S7" s="325">
        <v>18</v>
      </c>
      <c r="T7" s="370">
        <v>278</v>
      </c>
      <c r="U7" s="325">
        <v>52</v>
      </c>
      <c r="V7" s="370">
        <v>309</v>
      </c>
      <c r="W7" s="325">
        <v>26</v>
      </c>
      <c r="X7" s="370">
        <v>339</v>
      </c>
      <c r="Y7" s="325">
        <v>59</v>
      </c>
      <c r="Z7" s="370">
        <v>9</v>
      </c>
      <c r="AA7" s="325">
        <v>33</v>
      </c>
      <c r="AB7" s="370">
        <v>40</v>
      </c>
      <c r="AC7" s="325">
        <v>7</v>
      </c>
      <c r="AD7" s="370">
        <v>69</v>
      </c>
      <c r="AE7" s="371">
        <v>41</v>
      </c>
      <c r="AF7" s="310"/>
      <c r="AG7" s="310"/>
      <c r="AH7" s="310"/>
      <c r="AI7" s="310"/>
      <c r="AJ7" s="310"/>
      <c r="AK7" s="310"/>
    </row>
    <row r="8" spans="1:37" ht="15.75">
      <c r="A8" s="310"/>
      <c r="B8" s="310"/>
      <c r="C8" s="353"/>
      <c r="D8" s="310"/>
      <c r="E8" s="310"/>
      <c r="F8" s="310"/>
      <c r="G8" s="369">
        <v>2003</v>
      </c>
      <c r="H8" s="370">
        <v>100</v>
      </c>
      <c r="I8" s="325">
        <v>14</v>
      </c>
      <c r="J8" s="370">
        <v>130</v>
      </c>
      <c r="K8" s="325">
        <v>47</v>
      </c>
      <c r="L8" s="370">
        <v>158</v>
      </c>
      <c r="M8" s="325">
        <v>23</v>
      </c>
      <c r="N8" s="370">
        <v>189</v>
      </c>
      <c r="O8" s="325">
        <v>56</v>
      </c>
      <c r="P8" s="370">
        <v>218</v>
      </c>
      <c r="Q8" s="325">
        <v>31</v>
      </c>
      <c r="R8" s="370">
        <v>249</v>
      </c>
      <c r="S8" s="325">
        <v>4</v>
      </c>
      <c r="T8" s="370">
        <v>278</v>
      </c>
      <c r="U8" s="325">
        <v>38</v>
      </c>
      <c r="V8" s="370">
        <v>309</v>
      </c>
      <c r="W8" s="325">
        <v>11</v>
      </c>
      <c r="X8" s="370">
        <v>339</v>
      </c>
      <c r="Y8" s="325">
        <v>45</v>
      </c>
      <c r="Z8" s="370">
        <v>9</v>
      </c>
      <c r="AA8" s="325">
        <v>19</v>
      </c>
      <c r="AB8" s="370">
        <v>39</v>
      </c>
      <c r="AC8" s="325">
        <v>52</v>
      </c>
      <c r="AD8" s="370">
        <v>69</v>
      </c>
      <c r="AE8" s="371">
        <v>26</v>
      </c>
      <c r="AF8" s="310"/>
      <c r="AG8" s="310"/>
      <c r="AH8" s="310"/>
      <c r="AI8" s="310"/>
      <c r="AJ8" s="310"/>
      <c r="AK8" s="310"/>
    </row>
    <row r="9" spans="1:37" ht="15.75">
      <c r="A9" s="310"/>
      <c r="B9" s="310"/>
      <c r="C9" s="353"/>
      <c r="D9" s="310"/>
      <c r="E9" s="310"/>
      <c r="F9" s="310"/>
      <c r="G9" s="369">
        <v>2004</v>
      </c>
      <c r="H9" s="370">
        <v>100</v>
      </c>
      <c r="I9" s="325">
        <v>0</v>
      </c>
      <c r="J9" s="370">
        <v>130</v>
      </c>
      <c r="K9" s="325">
        <v>33</v>
      </c>
      <c r="L9" s="370">
        <v>158</v>
      </c>
      <c r="M9" s="325">
        <v>8</v>
      </c>
      <c r="N9" s="370">
        <v>189</v>
      </c>
      <c r="O9" s="325">
        <v>41</v>
      </c>
      <c r="P9" s="370">
        <v>219</v>
      </c>
      <c r="Q9" s="325">
        <v>16</v>
      </c>
      <c r="R9" s="370">
        <v>249</v>
      </c>
      <c r="S9" s="325">
        <v>49</v>
      </c>
      <c r="T9" s="370">
        <v>279</v>
      </c>
      <c r="U9" s="325">
        <v>23</v>
      </c>
      <c r="V9" s="370">
        <v>309</v>
      </c>
      <c r="W9" s="325">
        <v>56</v>
      </c>
      <c r="X9" s="370">
        <v>340</v>
      </c>
      <c r="Y9" s="325">
        <v>30</v>
      </c>
      <c r="Z9" s="370">
        <v>10</v>
      </c>
      <c r="AA9" s="325">
        <v>4</v>
      </c>
      <c r="AB9" s="370">
        <v>40</v>
      </c>
      <c r="AC9" s="325">
        <v>37</v>
      </c>
      <c r="AD9" s="370">
        <v>70</v>
      </c>
      <c r="AE9" s="371">
        <v>11</v>
      </c>
      <c r="AF9" s="310"/>
      <c r="AG9" s="310"/>
      <c r="AH9" s="310"/>
      <c r="AI9" s="310"/>
      <c r="AJ9" s="310"/>
      <c r="AK9" s="310"/>
    </row>
    <row r="10" spans="1:37" ht="24" customHeight="1">
      <c r="A10" s="310"/>
      <c r="B10" s="310"/>
      <c r="C10" s="353"/>
      <c r="D10" s="310"/>
      <c r="E10" s="310"/>
      <c r="F10" s="310"/>
      <c r="G10" s="369">
        <v>2005</v>
      </c>
      <c r="H10" s="370">
        <v>100</v>
      </c>
      <c r="I10" s="325">
        <v>45</v>
      </c>
      <c r="J10" s="370">
        <v>131</v>
      </c>
      <c r="K10" s="325">
        <v>18</v>
      </c>
      <c r="L10" s="370">
        <v>158</v>
      </c>
      <c r="M10" s="325">
        <v>54</v>
      </c>
      <c r="N10" s="370">
        <v>189</v>
      </c>
      <c r="O10" s="325">
        <v>27</v>
      </c>
      <c r="P10" s="370">
        <v>219</v>
      </c>
      <c r="Q10" s="325">
        <v>1</v>
      </c>
      <c r="R10" s="370">
        <v>249</v>
      </c>
      <c r="S10" s="325">
        <v>35</v>
      </c>
      <c r="T10" s="370">
        <v>279</v>
      </c>
      <c r="U10" s="325">
        <v>9</v>
      </c>
      <c r="V10" s="370">
        <v>309</v>
      </c>
      <c r="W10" s="325">
        <v>42</v>
      </c>
      <c r="X10" s="370">
        <v>340</v>
      </c>
      <c r="Y10" s="325">
        <v>15</v>
      </c>
      <c r="Z10" s="370">
        <v>9</v>
      </c>
      <c r="AA10" s="325">
        <v>50</v>
      </c>
      <c r="AB10" s="370">
        <v>40</v>
      </c>
      <c r="AC10" s="325">
        <v>23</v>
      </c>
      <c r="AD10" s="370">
        <v>69</v>
      </c>
      <c r="AE10" s="371">
        <v>57</v>
      </c>
      <c r="AF10" s="310"/>
      <c r="AG10" s="310"/>
      <c r="AH10" s="310"/>
      <c r="AI10" s="310"/>
      <c r="AJ10" s="310"/>
      <c r="AK10" s="310"/>
    </row>
    <row r="11" spans="1:37" ht="15.75">
      <c r="A11" s="310"/>
      <c r="B11" s="310"/>
      <c r="C11" s="353"/>
      <c r="D11" s="310"/>
      <c r="E11" s="310"/>
      <c r="F11" s="310"/>
      <c r="G11" s="369">
        <v>2006</v>
      </c>
      <c r="H11" s="370">
        <v>100</v>
      </c>
      <c r="I11" s="325">
        <v>30</v>
      </c>
      <c r="J11" s="370">
        <v>131</v>
      </c>
      <c r="K11" s="325">
        <v>4</v>
      </c>
      <c r="L11" s="370">
        <v>158</v>
      </c>
      <c r="M11" s="325">
        <v>40</v>
      </c>
      <c r="N11" s="370">
        <v>189</v>
      </c>
      <c r="O11" s="325">
        <v>13</v>
      </c>
      <c r="P11" s="370">
        <v>218</v>
      </c>
      <c r="Q11" s="325">
        <v>47</v>
      </c>
      <c r="R11" s="370">
        <v>249</v>
      </c>
      <c r="S11" s="325">
        <v>20</v>
      </c>
      <c r="T11" s="370">
        <v>278</v>
      </c>
      <c r="U11" s="325">
        <v>55</v>
      </c>
      <c r="V11" s="370">
        <v>309</v>
      </c>
      <c r="W11" s="325">
        <v>28</v>
      </c>
      <c r="X11" s="370">
        <v>340</v>
      </c>
      <c r="Y11" s="325">
        <v>1</v>
      </c>
      <c r="Z11" s="370">
        <v>9</v>
      </c>
      <c r="AA11" s="325">
        <v>35</v>
      </c>
      <c r="AB11" s="370">
        <v>40</v>
      </c>
      <c r="AC11" s="325">
        <v>9</v>
      </c>
      <c r="AD11" s="370">
        <v>69</v>
      </c>
      <c r="AE11" s="371">
        <v>43</v>
      </c>
      <c r="AF11" s="310"/>
      <c r="AG11" s="310"/>
      <c r="AH11" s="310"/>
      <c r="AI11" s="310"/>
      <c r="AJ11" s="310"/>
      <c r="AK11" s="310"/>
    </row>
    <row r="12" spans="1:37" ht="15.75">
      <c r="A12" s="310"/>
      <c r="B12" s="310"/>
      <c r="C12" s="353"/>
      <c r="D12" s="310"/>
      <c r="E12" s="310"/>
      <c r="F12" s="310"/>
      <c r="G12" s="369">
        <v>2007</v>
      </c>
      <c r="H12" s="370">
        <v>100</v>
      </c>
      <c r="I12" s="325">
        <v>16</v>
      </c>
      <c r="J12" s="370">
        <v>130</v>
      </c>
      <c r="K12" s="325">
        <v>49</v>
      </c>
      <c r="L12" s="370">
        <v>158</v>
      </c>
      <c r="M12" s="325">
        <v>25</v>
      </c>
      <c r="N12" s="370">
        <v>189</v>
      </c>
      <c r="O12" s="325">
        <v>59</v>
      </c>
      <c r="P12" s="370">
        <v>218</v>
      </c>
      <c r="Q12" s="325">
        <v>33</v>
      </c>
      <c r="R12" s="370">
        <v>249</v>
      </c>
      <c r="S12" s="325">
        <v>6</v>
      </c>
      <c r="T12" s="370">
        <v>278</v>
      </c>
      <c r="U12" s="325">
        <v>40</v>
      </c>
      <c r="V12" s="370">
        <v>309</v>
      </c>
      <c r="W12" s="325">
        <v>14</v>
      </c>
      <c r="X12" s="370">
        <v>339</v>
      </c>
      <c r="Y12" s="325">
        <v>47</v>
      </c>
      <c r="Z12" s="370">
        <v>9</v>
      </c>
      <c r="AA12" s="325">
        <v>21</v>
      </c>
      <c r="AB12" s="370">
        <v>39</v>
      </c>
      <c r="AC12" s="325">
        <v>54</v>
      </c>
      <c r="AD12" s="370">
        <v>69</v>
      </c>
      <c r="AE12" s="371">
        <v>29</v>
      </c>
      <c r="AF12" s="310"/>
      <c r="AG12" s="310"/>
      <c r="AH12" s="310"/>
      <c r="AI12" s="310"/>
      <c r="AJ12" s="310"/>
      <c r="AK12" s="310"/>
    </row>
    <row r="13" spans="1:37" ht="15.75">
      <c r="A13" s="310"/>
      <c r="B13" s="310"/>
      <c r="C13" s="353"/>
      <c r="D13" s="310"/>
      <c r="E13" s="310"/>
      <c r="F13" s="310"/>
      <c r="G13" s="369">
        <v>2008</v>
      </c>
      <c r="H13" s="370">
        <v>100</v>
      </c>
      <c r="I13" s="325">
        <v>2</v>
      </c>
      <c r="J13" s="370">
        <v>130</v>
      </c>
      <c r="K13" s="325">
        <v>35</v>
      </c>
      <c r="L13" s="370">
        <v>158</v>
      </c>
      <c r="M13" s="325">
        <v>10</v>
      </c>
      <c r="N13" s="370">
        <v>189</v>
      </c>
      <c r="O13" s="325">
        <v>44</v>
      </c>
      <c r="P13" s="370">
        <v>219</v>
      </c>
      <c r="Q13" s="325">
        <v>18</v>
      </c>
      <c r="R13" s="370">
        <v>249</v>
      </c>
      <c r="S13" s="325">
        <v>51</v>
      </c>
      <c r="T13" s="370">
        <v>279</v>
      </c>
      <c r="U13" s="325">
        <v>25</v>
      </c>
      <c r="V13" s="370">
        <v>309</v>
      </c>
      <c r="W13" s="325">
        <v>59</v>
      </c>
      <c r="X13" s="370">
        <v>340</v>
      </c>
      <c r="Y13" s="325">
        <v>32</v>
      </c>
      <c r="Z13" s="370">
        <v>10</v>
      </c>
      <c r="AA13" s="325">
        <v>6</v>
      </c>
      <c r="AB13" s="370">
        <v>40</v>
      </c>
      <c r="AC13" s="325">
        <v>39</v>
      </c>
      <c r="AD13" s="370">
        <v>70</v>
      </c>
      <c r="AE13" s="371">
        <v>13</v>
      </c>
      <c r="AF13" s="310"/>
      <c r="AG13" s="310"/>
      <c r="AH13" s="310"/>
      <c r="AI13" s="310"/>
      <c r="AJ13" s="310"/>
      <c r="AK13" s="310"/>
    </row>
    <row r="14" spans="1:37" ht="16.5" thickBot="1">
      <c r="A14" s="310"/>
      <c r="B14" s="310"/>
      <c r="C14" s="353"/>
      <c r="D14" s="310"/>
      <c r="E14" s="310"/>
      <c r="F14" s="310"/>
      <c r="G14" s="372">
        <v>2009</v>
      </c>
      <c r="H14" s="373">
        <v>100</v>
      </c>
      <c r="I14" s="374">
        <v>47</v>
      </c>
      <c r="J14" s="373">
        <v>131</v>
      </c>
      <c r="K14" s="374">
        <v>20</v>
      </c>
      <c r="L14" s="373">
        <v>158</v>
      </c>
      <c r="M14" s="374">
        <v>56</v>
      </c>
      <c r="N14" s="373">
        <v>189</v>
      </c>
      <c r="O14" s="374">
        <v>29</v>
      </c>
      <c r="P14" s="373">
        <v>219</v>
      </c>
      <c r="Q14" s="374">
        <v>3</v>
      </c>
      <c r="R14" s="373">
        <v>249</v>
      </c>
      <c r="S14" s="374">
        <v>37</v>
      </c>
      <c r="T14" s="373">
        <v>279</v>
      </c>
      <c r="U14" s="374">
        <v>11</v>
      </c>
      <c r="V14" s="373">
        <v>309</v>
      </c>
      <c r="W14" s="374">
        <v>44</v>
      </c>
      <c r="X14" s="373">
        <v>340</v>
      </c>
      <c r="Y14" s="374">
        <v>18</v>
      </c>
      <c r="Z14" s="373">
        <v>9</v>
      </c>
      <c r="AA14" s="374">
        <v>52</v>
      </c>
      <c r="AB14" s="373">
        <v>40</v>
      </c>
      <c r="AC14" s="374">
        <v>25</v>
      </c>
      <c r="AD14" s="373">
        <v>69</v>
      </c>
      <c r="AE14" s="375">
        <v>59</v>
      </c>
      <c r="AF14" s="310"/>
      <c r="AG14" s="310"/>
      <c r="AH14" s="310"/>
      <c r="AI14" s="310"/>
      <c r="AJ14" s="310"/>
      <c r="AK14" s="310"/>
    </row>
    <row r="15" spans="1:37" ht="15.75">
      <c r="A15" s="310"/>
      <c r="B15" s="310"/>
      <c r="C15" s="353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</row>
    <row r="16" spans="1:37" s="361" customFormat="1" ht="24.75" customHeight="1" thickBot="1">
      <c r="A16" s="358"/>
      <c r="B16" s="358"/>
      <c r="C16" s="867" t="s">
        <v>203</v>
      </c>
      <c r="D16" s="867"/>
      <c r="E16" s="867"/>
      <c r="F16" s="867"/>
      <c r="G16" s="867"/>
      <c r="H16" s="867"/>
      <c r="I16" s="867"/>
      <c r="J16" s="867"/>
      <c r="K16" s="867"/>
      <c r="L16" s="867"/>
      <c r="M16" s="867"/>
      <c r="N16" s="867"/>
      <c r="O16" s="867"/>
      <c r="P16" s="867"/>
      <c r="Q16" s="867"/>
      <c r="R16" s="867"/>
      <c r="S16" s="867"/>
      <c r="T16" s="867"/>
      <c r="U16" s="867"/>
      <c r="V16" s="867"/>
      <c r="W16" s="867"/>
      <c r="X16" s="867"/>
      <c r="Y16" s="867"/>
      <c r="Z16" s="867"/>
      <c r="AA16" s="867"/>
      <c r="AB16" s="867"/>
      <c r="AC16" s="867"/>
      <c r="AD16" s="867"/>
      <c r="AE16" s="867"/>
      <c r="AF16" s="867"/>
      <c r="AG16" s="867"/>
      <c r="AH16" s="867"/>
      <c r="AI16" s="867"/>
      <c r="AJ16" s="358"/>
      <c r="AK16" s="358"/>
    </row>
    <row r="17" spans="1:37" s="378" customFormat="1" ht="18.75" customHeight="1">
      <c r="A17" s="376"/>
      <c r="B17" s="376"/>
      <c r="C17" s="377" t="s">
        <v>204</v>
      </c>
      <c r="D17" s="864">
        <v>1</v>
      </c>
      <c r="E17" s="865"/>
      <c r="F17" s="864">
        <v>2</v>
      </c>
      <c r="G17" s="865"/>
      <c r="H17" s="864">
        <v>3</v>
      </c>
      <c r="I17" s="865"/>
      <c r="J17" s="864">
        <v>4</v>
      </c>
      <c r="K17" s="865"/>
      <c r="L17" s="864">
        <v>5</v>
      </c>
      <c r="M17" s="865"/>
      <c r="N17" s="864">
        <v>6</v>
      </c>
      <c r="O17" s="865"/>
      <c r="P17" s="864">
        <v>7</v>
      </c>
      <c r="Q17" s="865"/>
      <c r="R17" s="864">
        <v>8</v>
      </c>
      <c r="S17" s="865"/>
      <c r="T17" s="864">
        <v>9</v>
      </c>
      <c r="U17" s="865"/>
      <c r="V17" s="864">
        <v>10</v>
      </c>
      <c r="W17" s="865"/>
      <c r="X17" s="864">
        <v>11</v>
      </c>
      <c r="Y17" s="865"/>
      <c r="Z17" s="864">
        <v>12</v>
      </c>
      <c r="AA17" s="865"/>
      <c r="AB17" s="864">
        <v>13</v>
      </c>
      <c r="AC17" s="865"/>
      <c r="AD17" s="864">
        <v>14</v>
      </c>
      <c r="AE17" s="865"/>
      <c r="AF17" s="864">
        <v>15</v>
      </c>
      <c r="AG17" s="865"/>
      <c r="AH17" s="864">
        <v>16</v>
      </c>
      <c r="AI17" s="868"/>
      <c r="AJ17" s="376"/>
      <c r="AK17" s="376"/>
    </row>
    <row r="18" spans="1:53" s="368" customFormat="1" ht="18.75">
      <c r="A18" s="362"/>
      <c r="B18" s="362"/>
      <c r="C18" s="379" t="s">
        <v>205</v>
      </c>
      <c r="D18" s="380" t="s">
        <v>200</v>
      </c>
      <c r="E18" s="381" t="s">
        <v>201</v>
      </c>
      <c r="F18" s="382" t="s">
        <v>200</v>
      </c>
      <c r="G18" s="366" t="s">
        <v>201</v>
      </c>
      <c r="H18" s="365" t="s">
        <v>200</v>
      </c>
      <c r="I18" s="366" t="s">
        <v>201</v>
      </c>
      <c r="J18" s="365" t="s">
        <v>200</v>
      </c>
      <c r="K18" s="366" t="s">
        <v>201</v>
      </c>
      <c r="L18" s="365" t="s">
        <v>200</v>
      </c>
      <c r="M18" s="366" t="s">
        <v>201</v>
      </c>
      <c r="N18" s="365" t="s">
        <v>200</v>
      </c>
      <c r="O18" s="366" t="s">
        <v>201</v>
      </c>
      <c r="P18" s="365" t="s">
        <v>200</v>
      </c>
      <c r="Q18" s="366" t="s">
        <v>201</v>
      </c>
      <c r="R18" s="365" t="s">
        <v>200</v>
      </c>
      <c r="S18" s="366" t="s">
        <v>201</v>
      </c>
      <c r="T18" s="365" t="s">
        <v>200</v>
      </c>
      <c r="U18" s="366" t="s">
        <v>201</v>
      </c>
      <c r="V18" s="365" t="s">
        <v>200</v>
      </c>
      <c r="W18" s="366" t="s">
        <v>201</v>
      </c>
      <c r="X18" s="365" t="s">
        <v>200</v>
      </c>
      <c r="Y18" s="366" t="s">
        <v>201</v>
      </c>
      <c r="Z18" s="365" t="s">
        <v>200</v>
      </c>
      <c r="AA18" s="366" t="s">
        <v>201</v>
      </c>
      <c r="AB18" s="365" t="s">
        <v>200</v>
      </c>
      <c r="AC18" s="366" t="s">
        <v>201</v>
      </c>
      <c r="AD18" s="365" t="s">
        <v>200</v>
      </c>
      <c r="AE18" s="366" t="s">
        <v>201</v>
      </c>
      <c r="AF18" s="365" t="s">
        <v>200</v>
      </c>
      <c r="AG18" s="366" t="s">
        <v>201</v>
      </c>
      <c r="AH18" s="365" t="s">
        <v>200</v>
      </c>
      <c r="AI18" s="367" t="s">
        <v>201</v>
      </c>
      <c r="AJ18" s="362"/>
      <c r="AK18" s="362"/>
      <c r="AO18" s="383"/>
      <c r="AP18" s="383"/>
      <c r="AQ18" s="383"/>
      <c r="AR18" s="383"/>
      <c r="AS18" s="383"/>
      <c r="AT18" s="383"/>
      <c r="AU18" s="383"/>
      <c r="AV18" s="383"/>
      <c r="AW18" s="383"/>
      <c r="AX18" s="383"/>
      <c r="AY18" s="383"/>
      <c r="AZ18" s="383"/>
      <c r="BA18" s="383"/>
    </row>
    <row r="19" spans="1:37" ht="15.75">
      <c r="A19" s="310"/>
      <c r="B19" s="310"/>
      <c r="C19" s="384">
        <v>0</v>
      </c>
      <c r="D19" s="370">
        <v>0</v>
      </c>
      <c r="E19" s="325">
        <v>0</v>
      </c>
      <c r="F19" s="370">
        <v>0</v>
      </c>
      <c r="G19" s="325">
        <v>59</v>
      </c>
      <c r="H19" s="370">
        <v>1</v>
      </c>
      <c r="I19" s="325">
        <v>58</v>
      </c>
      <c r="J19" s="370">
        <v>2</v>
      </c>
      <c r="K19" s="325">
        <v>57</v>
      </c>
      <c r="L19" s="370">
        <v>3</v>
      </c>
      <c r="M19" s="325">
        <v>57</v>
      </c>
      <c r="N19" s="370">
        <v>4</v>
      </c>
      <c r="O19" s="325">
        <v>56</v>
      </c>
      <c r="P19" s="370">
        <v>5</v>
      </c>
      <c r="Q19" s="325">
        <v>55</v>
      </c>
      <c r="R19" s="370">
        <v>6</v>
      </c>
      <c r="S19" s="325">
        <v>54</v>
      </c>
      <c r="T19" s="370">
        <v>7</v>
      </c>
      <c r="U19" s="325">
        <v>53</v>
      </c>
      <c r="V19" s="370">
        <v>8</v>
      </c>
      <c r="W19" s="325">
        <v>52</v>
      </c>
      <c r="X19" s="370">
        <v>9</v>
      </c>
      <c r="Y19" s="325">
        <v>51</v>
      </c>
      <c r="Z19" s="370">
        <v>10</v>
      </c>
      <c r="AA19" s="325">
        <v>51</v>
      </c>
      <c r="AB19" s="370">
        <v>11</v>
      </c>
      <c r="AC19" s="325">
        <v>50</v>
      </c>
      <c r="AD19" s="370">
        <v>12</v>
      </c>
      <c r="AE19" s="325">
        <v>49</v>
      </c>
      <c r="AF19" s="370">
        <v>13</v>
      </c>
      <c r="AG19" s="325">
        <v>48</v>
      </c>
      <c r="AH19" s="370">
        <v>14</v>
      </c>
      <c r="AI19" s="371">
        <v>47</v>
      </c>
      <c r="AJ19" s="310"/>
      <c r="AK19" s="310"/>
    </row>
    <row r="20" spans="1:37" ht="15.75">
      <c r="A20" s="310"/>
      <c r="B20" s="310"/>
      <c r="C20" s="384">
        <v>1</v>
      </c>
      <c r="D20" s="370">
        <v>15</v>
      </c>
      <c r="E20" s="325">
        <v>2</v>
      </c>
      <c r="F20" s="370">
        <v>16</v>
      </c>
      <c r="G20" s="325">
        <v>2</v>
      </c>
      <c r="H20" s="370">
        <v>17</v>
      </c>
      <c r="I20" s="325">
        <v>1</v>
      </c>
      <c r="J20" s="370">
        <v>18</v>
      </c>
      <c r="K20" s="325">
        <v>0</v>
      </c>
      <c r="L20" s="370">
        <v>18</v>
      </c>
      <c r="M20" s="325">
        <v>59</v>
      </c>
      <c r="N20" s="370">
        <v>19</v>
      </c>
      <c r="O20" s="325">
        <v>58</v>
      </c>
      <c r="P20" s="370">
        <v>20</v>
      </c>
      <c r="Q20" s="325">
        <v>57</v>
      </c>
      <c r="R20" s="370">
        <v>21</v>
      </c>
      <c r="S20" s="325">
        <v>56</v>
      </c>
      <c r="T20" s="370">
        <v>22</v>
      </c>
      <c r="U20" s="325">
        <v>56</v>
      </c>
      <c r="V20" s="370">
        <v>23</v>
      </c>
      <c r="W20" s="325">
        <v>55</v>
      </c>
      <c r="X20" s="370">
        <v>24</v>
      </c>
      <c r="Y20" s="325">
        <v>54</v>
      </c>
      <c r="Z20" s="370">
        <v>25</v>
      </c>
      <c r="AA20" s="325">
        <v>53</v>
      </c>
      <c r="AB20" s="370">
        <v>26</v>
      </c>
      <c r="AC20" s="325">
        <v>52</v>
      </c>
      <c r="AD20" s="370">
        <v>27</v>
      </c>
      <c r="AE20" s="325">
        <v>51</v>
      </c>
      <c r="AF20" s="370">
        <v>28</v>
      </c>
      <c r="AG20" s="325">
        <v>50</v>
      </c>
      <c r="AH20" s="370">
        <v>29</v>
      </c>
      <c r="AI20" s="371">
        <v>50</v>
      </c>
      <c r="AJ20" s="310"/>
      <c r="AK20" s="310"/>
    </row>
    <row r="21" spans="1:37" ht="15.75">
      <c r="A21" s="310"/>
      <c r="B21" s="310"/>
      <c r="C21" s="384">
        <v>2</v>
      </c>
      <c r="D21" s="370">
        <v>30</v>
      </c>
      <c r="E21" s="325">
        <v>5</v>
      </c>
      <c r="F21" s="370">
        <v>31</v>
      </c>
      <c r="G21" s="325">
        <v>4</v>
      </c>
      <c r="H21" s="370">
        <v>32</v>
      </c>
      <c r="I21" s="325">
        <v>3</v>
      </c>
      <c r="J21" s="370">
        <v>33</v>
      </c>
      <c r="K21" s="325">
        <v>2</v>
      </c>
      <c r="L21" s="370">
        <v>34</v>
      </c>
      <c r="M21" s="325">
        <v>1</v>
      </c>
      <c r="N21" s="370">
        <v>35</v>
      </c>
      <c r="O21" s="325">
        <v>1</v>
      </c>
      <c r="P21" s="370">
        <v>36</v>
      </c>
      <c r="Q21" s="325">
        <v>0</v>
      </c>
      <c r="R21" s="370">
        <v>36</v>
      </c>
      <c r="S21" s="325">
        <v>59</v>
      </c>
      <c r="T21" s="370">
        <v>37</v>
      </c>
      <c r="U21" s="325">
        <v>58</v>
      </c>
      <c r="V21" s="370">
        <v>38</v>
      </c>
      <c r="W21" s="325">
        <v>57</v>
      </c>
      <c r="X21" s="370">
        <v>39</v>
      </c>
      <c r="Y21" s="325">
        <v>56</v>
      </c>
      <c r="Z21" s="370">
        <v>40</v>
      </c>
      <c r="AA21" s="325">
        <v>55</v>
      </c>
      <c r="AB21" s="370">
        <v>41</v>
      </c>
      <c r="AC21" s="325">
        <v>55</v>
      </c>
      <c r="AD21" s="370">
        <v>42</v>
      </c>
      <c r="AE21" s="325">
        <v>54</v>
      </c>
      <c r="AF21" s="370">
        <v>43</v>
      </c>
      <c r="AG21" s="325">
        <v>53</v>
      </c>
      <c r="AH21" s="370">
        <v>44</v>
      </c>
      <c r="AI21" s="371">
        <v>52</v>
      </c>
      <c r="AJ21" s="310"/>
      <c r="AK21" s="310"/>
    </row>
    <row r="22" spans="1:37" ht="15.75">
      <c r="A22" s="310"/>
      <c r="B22" s="310"/>
      <c r="C22" s="384">
        <v>3</v>
      </c>
      <c r="D22" s="370">
        <v>45</v>
      </c>
      <c r="E22" s="325">
        <v>7</v>
      </c>
      <c r="F22" s="370">
        <v>46</v>
      </c>
      <c r="G22" s="325">
        <v>7</v>
      </c>
      <c r="H22" s="370">
        <v>47</v>
      </c>
      <c r="I22" s="325">
        <v>6</v>
      </c>
      <c r="J22" s="370">
        <v>48</v>
      </c>
      <c r="K22" s="325">
        <v>5</v>
      </c>
      <c r="L22" s="370">
        <v>49</v>
      </c>
      <c r="M22" s="325">
        <v>4</v>
      </c>
      <c r="N22" s="370">
        <v>50</v>
      </c>
      <c r="O22" s="325">
        <v>3</v>
      </c>
      <c r="P22" s="370">
        <v>51</v>
      </c>
      <c r="Q22" s="325">
        <v>2</v>
      </c>
      <c r="R22" s="370">
        <v>52</v>
      </c>
      <c r="S22" s="325">
        <v>1</v>
      </c>
      <c r="T22" s="370">
        <v>53</v>
      </c>
      <c r="U22" s="325">
        <v>1</v>
      </c>
      <c r="V22" s="370">
        <v>54</v>
      </c>
      <c r="W22" s="325">
        <v>0</v>
      </c>
      <c r="X22" s="370">
        <v>54</v>
      </c>
      <c r="Y22" s="325">
        <v>59</v>
      </c>
      <c r="Z22" s="370">
        <v>55</v>
      </c>
      <c r="AA22" s="325">
        <v>58</v>
      </c>
      <c r="AB22" s="370">
        <v>56</v>
      </c>
      <c r="AC22" s="325">
        <v>57</v>
      </c>
      <c r="AD22" s="370">
        <v>57</v>
      </c>
      <c r="AE22" s="325">
        <v>56</v>
      </c>
      <c r="AF22" s="370">
        <v>58</v>
      </c>
      <c r="AG22" s="325">
        <v>55</v>
      </c>
      <c r="AH22" s="370">
        <v>59</v>
      </c>
      <c r="AI22" s="371">
        <v>54</v>
      </c>
      <c r="AJ22" s="310"/>
      <c r="AK22" s="310"/>
    </row>
    <row r="23" spans="1:37" ht="15.75">
      <c r="A23" s="310"/>
      <c r="B23" s="310"/>
      <c r="C23" s="384">
        <v>4</v>
      </c>
      <c r="D23" s="370">
        <v>60</v>
      </c>
      <c r="E23" s="325">
        <v>10</v>
      </c>
      <c r="F23" s="370">
        <v>61</v>
      </c>
      <c r="G23" s="325">
        <v>9</v>
      </c>
      <c r="H23" s="370">
        <v>62</v>
      </c>
      <c r="I23" s="325">
        <v>8</v>
      </c>
      <c r="J23" s="370">
        <v>63</v>
      </c>
      <c r="K23" s="325">
        <v>7</v>
      </c>
      <c r="L23" s="370">
        <v>64</v>
      </c>
      <c r="M23" s="325">
        <v>6</v>
      </c>
      <c r="N23" s="370">
        <v>65</v>
      </c>
      <c r="O23" s="325">
        <v>6</v>
      </c>
      <c r="P23" s="370">
        <v>66</v>
      </c>
      <c r="Q23" s="325">
        <v>5</v>
      </c>
      <c r="R23" s="370">
        <v>67</v>
      </c>
      <c r="S23" s="325">
        <v>4</v>
      </c>
      <c r="T23" s="370">
        <v>68</v>
      </c>
      <c r="U23" s="325">
        <v>3</v>
      </c>
      <c r="V23" s="370">
        <v>69</v>
      </c>
      <c r="W23" s="325">
        <v>2</v>
      </c>
      <c r="X23" s="370">
        <v>70</v>
      </c>
      <c r="Y23" s="325">
        <v>1</v>
      </c>
      <c r="Z23" s="370">
        <v>71</v>
      </c>
      <c r="AA23" s="325">
        <v>0</v>
      </c>
      <c r="AB23" s="370">
        <v>72</v>
      </c>
      <c r="AC23" s="325">
        <v>0</v>
      </c>
      <c r="AD23" s="370">
        <v>72</v>
      </c>
      <c r="AE23" s="325">
        <v>59</v>
      </c>
      <c r="AF23" s="370">
        <v>73</v>
      </c>
      <c r="AG23" s="325">
        <v>58</v>
      </c>
      <c r="AH23" s="370">
        <v>74</v>
      </c>
      <c r="AI23" s="371">
        <v>57</v>
      </c>
      <c r="AJ23" s="310"/>
      <c r="AK23" s="310"/>
    </row>
    <row r="24" spans="1:37" ht="24" customHeight="1">
      <c r="A24" s="310"/>
      <c r="B24" s="310"/>
      <c r="C24" s="384">
        <v>5</v>
      </c>
      <c r="D24" s="370">
        <v>75</v>
      </c>
      <c r="E24" s="325">
        <v>12</v>
      </c>
      <c r="F24" s="370">
        <v>76</v>
      </c>
      <c r="G24" s="325">
        <v>11</v>
      </c>
      <c r="H24" s="370">
        <v>77</v>
      </c>
      <c r="I24" s="325">
        <v>11</v>
      </c>
      <c r="J24" s="370">
        <v>78</v>
      </c>
      <c r="K24" s="325">
        <v>10</v>
      </c>
      <c r="L24" s="370">
        <v>79</v>
      </c>
      <c r="M24" s="325">
        <v>9</v>
      </c>
      <c r="N24" s="370">
        <v>80</v>
      </c>
      <c r="O24" s="325">
        <v>8</v>
      </c>
      <c r="P24" s="370">
        <v>81</v>
      </c>
      <c r="Q24" s="325">
        <v>7</v>
      </c>
      <c r="R24" s="370">
        <v>82</v>
      </c>
      <c r="S24" s="325">
        <v>6</v>
      </c>
      <c r="T24" s="370">
        <v>83</v>
      </c>
      <c r="U24" s="325">
        <v>5</v>
      </c>
      <c r="V24" s="370">
        <v>84</v>
      </c>
      <c r="W24" s="325">
        <v>5</v>
      </c>
      <c r="X24" s="370">
        <v>85</v>
      </c>
      <c r="Y24" s="325">
        <v>4</v>
      </c>
      <c r="Z24" s="370">
        <v>86</v>
      </c>
      <c r="AA24" s="325">
        <v>3</v>
      </c>
      <c r="AB24" s="370">
        <v>87</v>
      </c>
      <c r="AC24" s="325">
        <v>2</v>
      </c>
      <c r="AD24" s="370">
        <v>88</v>
      </c>
      <c r="AE24" s="325">
        <v>1</v>
      </c>
      <c r="AF24" s="370">
        <v>89</v>
      </c>
      <c r="AG24" s="325">
        <v>0</v>
      </c>
      <c r="AH24" s="370">
        <v>89</v>
      </c>
      <c r="AI24" s="371">
        <v>59</v>
      </c>
      <c r="AJ24" s="310"/>
      <c r="AK24" s="310"/>
    </row>
    <row r="25" spans="1:37" ht="15.75">
      <c r="A25" s="310"/>
      <c r="B25" s="310"/>
      <c r="C25" s="384">
        <v>6</v>
      </c>
      <c r="D25" s="370">
        <v>90</v>
      </c>
      <c r="E25" s="325">
        <v>15</v>
      </c>
      <c r="F25" s="370">
        <v>91</v>
      </c>
      <c r="G25" s="325">
        <v>14</v>
      </c>
      <c r="H25" s="370">
        <v>92</v>
      </c>
      <c r="I25" s="325">
        <v>13</v>
      </c>
      <c r="J25" s="370">
        <v>93</v>
      </c>
      <c r="K25" s="325">
        <v>12</v>
      </c>
      <c r="L25" s="370">
        <v>94</v>
      </c>
      <c r="M25" s="325">
        <v>11</v>
      </c>
      <c r="N25" s="370">
        <v>95</v>
      </c>
      <c r="O25" s="325">
        <v>10</v>
      </c>
      <c r="P25" s="370">
        <v>96</v>
      </c>
      <c r="Q25" s="325">
        <v>10</v>
      </c>
      <c r="R25" s="370">
        <v>97</v>
      </c>
      <c r="S25" s="325">
        <v>9</v>
      </c>
      <c r="T25" s="370">
        <v>98</v>
      </c>
      <c r="U25" s="325">
        <v>8</v>
      </c>
      <c r="V25" s="370">
        <v>99</v>
      </c>
      <c r="W25" s="325">
        <v>7</v>
      </c>
      <c r="X25" s="370">
        <v>100</v>
      </c>
      <c r="Y25" s="325">
        <v>6</v>
      </c>
      <c r="Z25" s="370">
        <v>101</v>
      </c>
      <c r="AA25" s="325">
        <v>5</v>
      </c>
      <c r="AB25" s="370">
        <v>102</v>
      </c>
      <c r="AC25" s="325">
        <v>4</v>
      </c>
      <c r="AD25" s="370">
        <v>103</v>
      </c>
      <c r="AE25" s="325">
        <v>4</v>
      </c>
      <c r="AF25" s="370">
        <v>104</v>
      </c>
      <c r="AG25" s="325">
        <v>3</v>
      </c>
      <c r="AH25" s="370">
        <v>105</v>
      </c>
      <c r="AI25" s="371">
        <v>2</v>
      </c>
      <c r="AJ25" s="310"/>
      <c r="AK25" s="310"/>
    </row>
    <row r="26" spans="1:37" ht="15.75">
      <c r="A26" s="310"/>
      <c r="B26" s="310"/>
      <c r="C26" s="384">
        <v>7</v>
      </c>
      <c r="D26" s="370">
        <v>105</v>
      </c>
      <c r="E26" s="325">
        <v>17</v>
      </c>
      <c r="F26" s="370">
        <v>106</v>
      </c>
      <c r="G26" s="325">
        <v>16</v>
      </c>
      <c r="H26" s="370">
        <v>107</v>
      </c>
      <c r="I26" s="325">
        <v>16</v>
      </c>
      <c r="J26" s="370">
        <v>108</v>
      </c>
      <c r="K26" s="325">
        <v>15</v>
      </c>
      <c r="L26" s="370">
        <v>109</v>
      </c>
      <c r="M26" s="325">
        <v>14</v>
      </c>
      <c r="N26" s="370">
        <v>110</v>
      </c>
      <c r="O26" s="325">
        <v>13</v>
      </c>
      <c r="P26" s="370">
        <v>111</v>
      </c>
      <c r="Q26" s="325">
        <v>12</v>
      </c>
      <c r="R26" s="370">
        <v>112</v>
      </c>
      <c r="S26" s="325">
        <v>11</v>
      </c>
      <c r="T26" s="370">
        <v>113</v>
      </c>
      <c r="U26" s="325">
        <v>10</v>
      </c>
      <c r="V26" s="370">
        <v>114</v>
      </c>
      <c r="W26" s="325">
        <v>9</v>
      </c>
      <c r="X26" s="370">
        <v>115</v>
      </c>
      <c r="Y26" s="325">
        <v>9</v>
      </c>
      <c r="Z26" s="370">
        <v>116</v>
      </c>
      <c r="AA26" s="325">
        <v>8</v>
      </c>
      <c r="AB26" s="370">
        <v>117</v>
      </c>
      <c r="AC26" s="325">
        <v>7</v>
      </c>
      <c r="AD26" s="370">
        <v>118</v>
      </c>
      <c r="AE26" s="325">
        <v>6</v>
      </c>
      <c r="AF26" s="370">
        <v>119</v>
      </c>
      <c r="AG26" s="325">
        <v>5</v>
      </c>
      <c r="AH26" s="370">
        <v>120</v>
      </c>
      <c r="AI26" s="371">
        <v>4</v>
      </c>
      <c r="AJ26" s="310"/>
      <c r="AK26" s="310"/>
    </row>
    <row r="27" spans="1:37" ht="15.75">
      <c r="A27" s="310"/>
      <c r="B27" s="310"/>
      <c r="C27" s="384">
        <v>8</v>
      </c>
      <c r="D27" s="370">
        <v>120</v>
      </c>
      <c r="E27" s="325">
        <v>20</v>
      </c>
      <c r="F27" s="370">
        <v>121</v>
      </c>
      <c r="G27" s="325">
        <v>19</v>
      </c>
      <c r="H27" s="370">
        <v>122</v>
      </c>
      <c r="I27" s="325">
        <v>18</v>
      </c>
      <c r="J27" s="370">
        <v>123</v>
      </c>
      <c r="K27" s="325">
        <v>17</v>
      </c>
      <c r="L27" s="370">
        <v>124</v>
      </c>
      <c r="M27" s="325">
        <v>16</v>
      </c>
      <c r="N27" s="370">
        <v>125</v>
      </c>
      <c r="O27" s="325">
        <v>15</v>
      </c>
      <c r="P27" s="370">
        <v>126</v>
      </c>
      <c r="Q27" s="325">
        <v>15</v>
      </c>
      <c r="R27" s="370">
        <v>127</v>
      </c>
      <c r="S27" s="325">
        <v>14</v>
      </c>
      <c r="T27" s="370">
        <v>128</v>
      </c>
      <c r="U27" s="325">
        <v>13</v>
      </c>
      <c r="V27" s="370">
        <v>129</v>
      </c>
      <c r="W27" s="325">
        <v>12</v>
      </c>
      <c r="X27" s="370">
        <v>130</v>
      </c>
      <c r="Y27" s="325">
        <v>11</v>
      </c>
      <c r="Z27" s="370">
        <v>131</v>
      </c>
      <c r="AA27" s="325">
        <v>10</v>
      </c>
      <c r="AB27" s="370">
        <v>132</v>
      </c>
      <c r="AC27" s="325">
        <v>9</v>
      </c>
      <c r="AD27" s="370">
        <v>133</v>
      </c>
      <c r="AE27" s="325">
        <v>9</v>
      </c>
      <c r="AF27" s="370">
        <v>134</v>
      </c>
      <c r="AG27" s="325">
        <v>8</v>
      </c>
      <c r="AH27" s="370">
        <v>135</v>
      </c>
      <c r="AI27" s="371">
        <v>7</v>
      </c>
      <c r="AJ27" s="310"/>
      <c r="AK27" s="310"/>
    </row>
    <row r="28" spans="1:37" ht="15.75">
      <c r="A28" s="310"/>
      <c r="B28" s="310"/>
      <c r="C28" s="384">
        <v>9</v>
      </c>
      <c r="D28" s="370">
        <v>135</v>
      </c>
      <c r="E28" s="325">
        <v>22</v>
      </c>
      <c r="F28" s="370">
        <v>136</v>
      </c>
      <c r="G28" s="325">
        <v>21</v>
      </c>
      <c r="H28" s="370">
        <v>137</v>
      </c>
      <c r="I28" s="325">
        <v>20</v>
      </c>
      <c r="J28" s="370">
        <v>138</v>
      </c>
      <c r="K28" s="325">
        <v>20</v>
      </c>
      <c r="L28" s="370">
        <v>139</v>
      </c>
      <c r="M28" s="325">
        <v>19</v>
      </c>
      <c r="N28" s="370">
        <v>140</v>
      </c>
      <c r="O28" s="325">
        <v>18</v>
      </c>
      <c r="P28" s="370">
        <v>141</v>
      </c>
      <c r="Q28" s="325">
        <v>17</v>
      </c>
      <c r="R28" s="370">
        <v>142</v>
      </c>
      <c r="S28" s="325">
        <v>16</v>
      </c>
      <c r="T28" s="370">
        <v>143</v>
      </c>
      <c r="U28" s="325">
        <v>15</v>
      </c>
      <c r="V28" s="370">
        <v>144</v>
      </c>
      <c r="W28" s="325">
        <v>14</v>
      </c>
      <c r="X28" s="370">
        <v>145</v>
      </c>
      <c r="Y28" s="325">
        <v>14</v>
      </c>
      <c r="Z28" s="370">
        <v>146</v>
      </c>
      <c r="AA28" s="325">
        <v>13</v>
      </c>
      <c r="AB28" s="370">
        <v>147</v>
      </c>
      <c r="AC28" s="325">
        <v>12</v>
      </c>
      <c r="AD28" s="370">
        <v>148</v>
      </c>
      <c r="AE28" s="325">
        <v>11</v>
      </c>
      <c r="AF28" s="370">
        <v>149</v>
      </c>
      <c r="AG28" s="325">
        <v>10</v>
      </c>
      <c r="AH28" s="370">
        <v>150</v>
      </c>
      <c r="AI28" s="371">
        <v>9</v>
      </c>
      <c r="AJ28" s="310"/>
      <c r="AK28" s="310"/>
    </row>
    <row r="29" spans="1:37" ht="24" customHeight="1">
      <c r="A29" s="310"/>
      <c r="B29" s="310"/>
      <c r="C29" s="384">
        <v>10</v>
      </c>
      <c r="D29" s="370">
        <v>150</v>
      </c>
      <c r="E29" s="325">
        <v>25</v>
      </c>
      <c r="F29" s="370">
        <v>151</v>
      </c>
      <c r="G29" s="325">
        <v>24</v>
      </c>
      <c r="H29" s="370">
        <v>152</v>
      </c>
      <c r="I29" s="325">
        <v>23</v>
      </c>
      <c r="J29" s="370">
        <v>153</v>
      </c>
      <c r="K29" s="325">
        <v>22</v>
      </c>
      <c r="L29" s="370">
        <v>154</v>
      </c>
      <c r="M29" s="325">
        <v>21</v>
      </c>
      <c r="N29" s="370">
        <v>155</v>
      </c>
      <c r="O29" s="325">
        <v>20</v>
      </c>
      <c r="P29" s="370">
        <v>156</v>
      </c>
      <c r="Q29" s="325">
        <v>19</v>
      </c>
      <c r="R29" s="370">
        <v>157</v>
      </c>
      <c r="S29" s="325">
        <v>19</v>
      </c>
      <c r="T29" s="370">
        <v>158</v>
      </c>
      <c r="U29" s="325">
        <v>18</v>
      </c>
      <c r="V29" s="370">
        <v>159</v>
      </c>
      <c r="W29" s="325">
        <v>17</v>
      </c>
      <c r="X29" s="370">
        <v>160</v>
      </c>
      <c r="Y29" s="325">
        <v>16</v>
      </c>
      <c r="Z29" s="370">
        <v>161</v>
      </c>
      <c r="AA29" s="325">
        <v>15</v>
      </c>
      <c r="AB29" s="370">
        <v>162</v>
      </c>
      <c r="AC29" s="325">
        <v>14</v>
      </c>
      <c r="AD29" s="370">
        <v>163</v>
      </c>
      <c r="AE29" s="325">
        <v>13</v>
      </c>
      <c r="AF29" s="370">
        <v>164</v>
      </c>
      <c r="AG29" s="325">
        <v>13</v>
      </c>
      <c r="AH29" s="370">
        <v>165</v>
      </c>
      <c r="AI29" s="371">
        <v>12</v>
      </c>
      <c r="AJ29" s="310"/>
      <c r="AK29" s="310"/>
    </row>
    <row r="30" spans="1:37" ht="15.75">
      <c r="A30" s="310"/>
      <c r="B30" s="310"/>
      <c r="C30" s="384">
        <v>11</v>
      </c>
      <c r="D30" s="370">
        <v>165</v>
      </c>
      <c r="E30" s="325">
        <v>27</v>
      </c>
      <c r="F30" s="370">
        <v>166</v>
      </c>
      <c r="G30" s="325">
        <v>26</v>
      </c>
      <c r="H30" s="370">
        <v>167</v>
      </c>
      <c r="I30" s="325">
        <v>25</v>
      </c>
      <c r="J30" s="370">
        <v>168</v>
      </c>
      <c r="K30" s="325">
        <v>25</v>
      </c>
      <c r="L30" s="370">
        <v>169</v>
      </c>
      <c r="M30" s="325">
        <v>24</v>
      </c>
      <c r="N30" s="370">
        <v>170</v>
      </c>
      <c r="O30" s="325">
        <v>23</v>
      </c>
      <c r="P30" s="370">
        <v>171</v>
      </c>
      <c r="Q30" s="325">
        <v>22</v>
      </c>
      <c r="R30" s="370">
        <v>172</v>
      </c>
      <c r="S30" s="325">
        <v>21</v>
      </c>
      <c r="T30" s="370">
        <v>173</v>
      </c>
      <c r="U30" s="325">
        <v>20</v>
      </c>
      <c r="V30" s="370">
        <v>174</v>
      </c>
      <c r="W30" s="325">
        <v>19</v>
      </c>
      <c r="X30" s="370">
        <v>175</v>
      </c>
      <c r="Y30" s="325">
        <v>18</v>
      </c>
      <c r="Z30" s="370">
        <v>176</v>
      </c>
      <c r="AA30" s="325">
        <v>18</v>
      </c>
      <c r="AB30" s="370">
        <v>177</v>
      </c>
      <c r="AC30" s="325">
        <v>17</v>
      </c>
      <c r="AD30" s="370">
        <v>178</v>
      </c>
      <c r="AE30" s="325">
        <v>16</v>
      </c>
      <c r="AF30" s="370">
        <v>179</v>
      </c>
      <c r="AG30" s="325">
        <v>15</v>
      </c>
      <c r="AH30" s="370">
        <v>180</v>
      </c>
      <c r="AI30" s="371">
        <v>14</v>
      </c>
      <c r="AJ30" s="310"/>
      <c r="AK30" s="310"/>
    </row>
    <row r="31" spans="1:37" ht="15.75">
      <c r="A31" s="310"/>
      <c r="B31" s="310"/>
      <c r="C31" s="384">
        <v>12</v>
      </c>
      <c r="D31" s="370">
        <v>180</v>
      </c>
      <c r="E31" s="325">
        <v>30</v>
      </c>
      <c r="F31" s="370">
        <v>181</v>
      </c>
      <c r="G31" s="325">
        <v>29</v>
      </c>
      <c r="H31" s="370">
        <v>182</v>
      </c>
      <c r="I31" s="325">
        <v>28</v>
      </c>
      <c r="J31" s="370">
        <v>183</v>
      </c>
      <c r="K31" s="325">
        <v>27</v>
      </c>
      <c r="L31" s="370">
        <v>184</v>
      </c>
      <c r="M31" s="325">
        <v>26</v>
      </c>
      <c r="N31" s="370">
        <v>185</v>
      </c>
      <c r="O31" s="325">
        <v>25</v>
      </c>
      <c r="P31" s="370">
        <v>186</v>
      </c>
      <c r="Q31" s="325">
        <v>24</v>
      </c>
      <c r="R31" s="370">
        <v>187</v>
      </c>
      <c r="S31" s="325">
        <v>24</v>
      </c>
      <c r="T31" s="370">
        <v>188</v>
      </c>
      <c r="U31" s="325">
        <v>23</v>
      </c>
      <c r="V31" s="370">
        <v>189</v>
      </c>
      <c r="W31" s="325">
        <v>22</v>
      </c>
      <c r="X31" s="370">
        <v>190</v>
      </c>
      <c r="Y31" s="325">
        <v>21</v>
      </c>
      <c r="Z31" s="370">
        <v>191</v>
      </c>
      <c r="AA31" s="325">
        <v>20</v>
      </c>
      <c r="AB31" s="370">
        <v>192</v>
      </c>
      <c r="AC31" s="325">
        <v>19</v>
      </c>
      <c r="AD31" s="370">
        <v>193</v>
      </c>
      <c r="AE31" s="325">
        <v>18</v>
      </c>
      <c r="AF31" s="370">
        <v>194</v>
      </c>
      <c r="AG31" s="325">
        <v>18</v>
      </c>
      <c r="AH31" s="370">
        <v>195</v>
      </c>
      <c r="AI31" s="371">
        <v>17</v>
      </c>
      <c r="AJ31" s="310"/>
      <c r="AK31" s="310"/>
    </row>
    <row r="32" spans="1:37" ht="15.75">
      <c r="A32" s="310"/>
      <c r="B32" s="310"/>
      <c r="C32" s="384">
        <v>13</v>
      </c>
      <c r="D32" s="370">
        <v>195</v>
      </c>
      <c r="E32" s="325">
        <v>32</v>
      </c>
      <c r="F32" s="370">
        <v>196</v>
      </c>
      <c r="G32" s="325">
        <v>31</v>
      </c>
      <c r="H32" s="370">
        <v>197</v>
      </c>
      <c r="I32" s="325">
        <v>30</v>
      </c>
      <c r="J32" s="370">
        <v>198</v>
      </c>
      <c r="K32" s="325">
        <v>29</v>
      </c>
      <c r="L32" s="370">
        <v>199</v>
      </c>
      <c r="M32" s="325">
        <v>29</v>
      </c>
      <c r="N32" s="370">
        <v>200</v>
      </c>
      <c r="O32" s="325">
        <v>28</v>
      </c>
      <c r="P32" s="370">
        <v>201</v>
      </c>
      <c r="Q32" s="325">
        <v>27</v>
      </c>
      <c r="R32" s="370">
        <v>202</v>
      </c>
      <c r="S32" s="325">
        <v>26</v>
      </c>
      <c r="T32" s="370">
        <v>203</v>
      </c>
      <c r="U32" s="325">
        <v>25</v>
      </c>
      <c r="V32" s="370">
        <v>204</v>
      </c>
      <c r="W32" s="325">
        <v>24</v>
      </c>
      <c r="X32" s="370">
        <v>205</v>
      </c>
      <c r="Y32" s="325">
        <v>23</v>
      </c>
      <c r="Z32" s="370">
        <v>206</v>
      </c>
      <c r="AA32" s="325">
        <v>23</v>
      </c>
      <c r="AB32" s="370">
        <v>207</v>
      </c>
      <c r="AC32" s="325">
        <v>22</v>
      </c>
      <c r="AD32" s="370">
        <v>208</v>
      </c>
      <c r="AE32" s="325">
        <v>21</v>
      </c>
      <c r="AF32" s="370">
        <v>209</v>
      </c>
      <c r="AG32" s="325">
        <v>20</v>
      </c>
      <c r="AH32" s="370">
        <v>210</v>
      </c>
      <c r="AI32" s="371">
        <v>19</v>
      </c>
      <c r="AJ32" s="310"/>
      <c r="AK32" s="310"/>
    </row>
    <row r="33" spans="1:37" ht="15.75">
      <c r="A33" s="310"/>
      <c r="B33" s="310"/>
      <c r="C33" s="384">
        <v>14</v>
      </c>
      <c r="D33" s="370">
        <v>210</v>
      </c>
      <c r="E33" s="325">
        <v>34</v>
      </c>
      <c r="F33" s="370">
        <v>211</v>
      </c>
      <c r="G33" s="325">
        <v>34</v>
      </c>
      <c r="H33" s="370">
        <v>212</v>
      </c>
      <c r="I33" s="325">
        <v>33</v>
      </c>
      <c r="J33" s="370">
        <v>213</v>
      </c>
      <c r="K33" s="325">
        <v>32</v>
      </c>
      <c r="L33" s="370">
        <v>214</v>
      </c>
      <c r="M33" s="325">
        <v>31</v>
      </c>
      <c r="N33" s="370">
        <v>215</v>
      </c>
      <c r="O33" s="325">
        <v>30</v>
      </c>
      <c r="P33" s="370">
        <v>216</v>
      </c>
      <c r="Q33" s="325">
        <v>29</v>
      </c>
      <c r="R33" s="370">
        <v>217</v>
      </c>
      <c r="S33" s="325">
        <v>28</v>
      </c>
      <c r="T33" s="370">
        <v>218</v>
      </c>
      <c r="U33" s="325">
        <v>28</v>
      </c>
      <c r="V33" s="370">
        <v>219</v>
      </c>
      <c r="W33" s="325">
        <v>27</v>
      </c>
      <c r="X33" s="370">
        <v>220</v>
      </c>
      <c r="Y33" s="325">
        <v>26</v>
      </c>
      <c r="Z33" s="370">
        <v>221</v>
      </c>
      <c r="AA33" s="325">
        <v>25</v>
      </c>
      <c r="AB33" s="370">
        <v>222</v>
      </c>
      <c r="AC33" s="325">
        <v>24</v>
      </c>
      <c r="AD33" s="370">
        <v>223</v>
      </c>
      <c r="AE33" s="325">
        <v>23</v>
      </c>
      <c r="AF33" s="370">
        <v>224</v>
      </c>
      <c r="AG33" s="325">
        <v>22</v>
      </c>
      <c r="AH33" s="370">
        <v>225</v>
      </c>
      <c r="AI33" s="371">
        <v>22</v>
      </c>
      <c r="AJ33" s="310"/>
      <c r="AK33" s="310"/>
    </row>
    <row r="34" spans="1:37" ht="24" customHeight="1">
      <c r="A34" s="310"/>
      <c r="B34" s="310"/>
      <c r="C34" s="384">
        <v>15</v>
      </c>
      <c r="D34" s="370">
        <v>225</v>
      </c>
      <c r="E34" s="325">
        <v>37</v>
      </c>
      <c r="F34" s="370">
        <v>226</v>
      </c>
      <c r="G34" s="325">
        <v>36</v>
      </c>
      <c r="H34" s="370">
        <v>227</v>
      </c>
      <c r="I34" s="325">
        <v>35</v>
      </c>
      <c r="J34" s="370">
        <v>228</v>
      </c>
      <c r="K34" s="325">
        <v>34</v>
      </c>
      <c r="L34" s="370">
        <v>229</v>
      </c>
      <c r="M34" s="325">
        <v>34</v>
      </c>
      <c r="N34" s="370">
        <v>230</v>
      </c>
      <c r="O34" s="325">
        <v>33</v>
      </c>
      <c r="P34" s="370">
        <v>231</v>
      </c>
      <c r="Q34" s="325">
        <v>32</v>
      </c>
      <c r="R34" s="370">
        <v>232</v>
      </c>
      <c r="S34" s="325">
        <v>31</v>
      </c>
      <c r="T34" s="370">
        <v>233</v>
      </c>
      <c r="U34" s="325">
        <v>30</v>
      </c>
      <c r="V34" s="370">
        <v>234</v>
      </c>
      <c r="W34" s="325">
        <v>29</v>
      </c>
      <c r="X34" s="370">
        <v>235</v>
      </c>
      <c r="Y34" s="325">
        <v>28</v>
      </c>
      <c r="Z34" s="370">
        <v>236</v>
      </c>
      <c r="AA34" s="325">
        <v>27</v>
      </c>
      <c r="AB34" s="370">
        <v>237</v>
      </c>
      <c r="AC34" s="325">
        <v>27</v>
      </c>
      <c r="AD34" s="370">
        <v>238</v>
      </c>
      <c r="AE34" s="325">
        <v>26</v>
      </c>
      <c r="AF34" s="370">
        <v>239</v>
      </c>
      <c r="AG34" s="325">
        <v>25</v>
      </c>
      <c r="AH34" s="370">
        <v>240</v>
      </c>
      <c r="AI34" s="371">
        <v>24</v>
      </c>
      <c r="AJ34" s="310"/>
      <c r="AK34" s="310"/>
    </row>
    <row r="35" spans="1:37" ht="15.75">
      <c r="A35" s="310"/>
      <c r="B35" s="310"/>
      <c r="C35" s="384">
        <v>16</v>
      </c>
      <c r="D35" s="370">
        <v>240</v>
      </c>
      <c r="E35" s="325">
        <v>39</v>
      </c>
      <c r="F35" s="370">
        <v>241</v>
      </c>
      <c r="G35" s="325">
        <v>39</v>
      </c>
      <c r="H35" s="370">
        <v>242</v>
      </c>
      <c r="I35" s="325">
        <v>38</v>
      </c>
      <c r="J35" s="370">
        <v>243</v>
      </c>
      <c r="K35" s="325">
        <v>37</v>
      </c>
      <c r="L35" s="370">
        <v>244</v>
      </c>
      <c r="M35" s="325">
        <v>36</v>
      </c>
      <c r="N35" s="370">
        <v>245</v>
      </c>
      <c r="O35" s="325">
        <v>35</v>
      </c>
      <c r="P35" s="370">
        <v>246</v>
      </c>
      <c r="Q35" s="325">
        <v>34</v>
      </c>
      <c r="R35" s="370">
        <v>247</v>
      </c>
      <c r="S35" s="325">
        <v>33</v>
      </c>
      <c r="T35" s="370">
        <v>248</v>
      </c>
      <c r="U35" s="325">
        <v>33</v>
      </c>
      <c r="V35" s="370">
        <v>249</v>
      </c>
      <c r="W35" s="325">
        <v>32</v>
      </c>
      <c r="X35" s="370">
        <v>250</v>
      </c>
      <c r="Y35" s="325">
        <v>31</v>
      </c>
      <c r="Z35" s="370">
        <v>251</v>
      </c>
      <c r="AA35" s="325">
        <v>30</v>
      </c>
      <c r="AB35" s="370">
        <v>252</v>
      </c>
      <c r="AC35" s="325">
        <v>29</v>
      </c>
      <c r="AD35" s="370">
        <v>253</v>
      </c>
      <c r="AE35" s="325">
        <v>28</v>
      </c>
      <c r="AF35" s="370">
        <v>254</v>
      </c>
      <c r="AG35" s="325">
        <v>27</v>
      </c>
      <c r="AH35" s="370">
        <v>255</v>
      </c>
      <c r="AI35" s="371">
        <v>27</v>
      </c>
      <c r="AJ35" s="310"/>
      <c r="AK35" s="310"/>
    </row>
    <row r="36" spans="1:37" ht="15.75">
      <c r="A36" s="310"/>
      <c r="B36" s="310"/>
      <c r="C36" s="384">
        <v>17</v>
      </c>
      <c r="D36" s="370">
        <v>255</v>
      </c>
      <c r="E36" s="325">
        <v>42</v>
      </c>
      <c r="F36" s="370">
        <v>256</v>
      </c>
      <c r="G36" s="325">
        <v>41</v>
      </c>
      <c r="H36" s="370">
        <v>257</v>
      </c>
      <c r="I36" s="325">
        <v>40</v>
      </c>
      <c r="J36" s="370">
        <v>258</v>
      </c>
      <c r="K36" s="325">
        <v>39</v>
      </c>
      <c r="L36" s="370">
        <v>259</v>
      </c>
      <c r="M36" s="325">
        <v>38</v>
      </c>
      <c r="N36" s="370">
        <v>260</v>
      </c>
      <c r="O36" s="325">
        <v>38</v>
      </c>
      <c r="P36" s="370">
        <v>261</v>
      </c>
      <c r="Q36" s="325">
        <v>37</v>
      </c>
      <c r="R36" s="370">
        <v>262</v>
      </c>
      <c r="S36" s="325">
        <v>36</v>
      </c>
      <c r="T36" s="370">
        <v>263</v>
      </c>
      <c r="U36" s="325">
        <v>35</v>
      </c>
      <c r="V36" s="370">
        <v>264</v>
      </c>
      <c r="W36" s="325">
        <v>34</v>
      </c>
      <c r="X36" s="370">
        <v>265</v>
      </c>
      <c r="Y36" s="325">
        <v>33</v>
      </c>
      <c r="Z36" s="370">
        <v>266</v>
      </c>
      <c r="AA36" s="325">
        <v>32</v>
      </c>
      <c r="AB36" s="370">
        <v>267</v>
      </c>
      <c r="AC36" s="325">
        <v>32</v>
      </c>
      <c r="AD36" s="370">
        <v>268</v>
      </c>
      <c r="AE36" s="325">
        <v>31</v>
      </c>
      <c r="AF36" s="370">
        <v>269</v>
      </c>
      <c r="AG36" s="325">
        <v>30</v>
      </c>
      <c r="AH36" s="370">
        <v>270</v>
      </c>
      <c r="AI36" s="371">
        <v>29</v>
      </c>
      <c r="AJ36" s="310"/>
      <c r="AK36" s="310"/>
    </row>
    <row r="37" spans="1:37" ht="15.75">
      <c r="A37" s="310"/>
      <c r="B37" s="310"/>
      <c r="C37" s="384">
        <v>18</v>
      </c>
      <c r="D37" s="370">
        <v>270</v>
      </c>
      <c r="E37" s="325">
        <v>44</v>
      </c>
      <c r="F37" s="370">
        <v>271</v>
      </c>
      <c r="G37" s="325">
        <v>43</v>
      </c>
      <c r="H37" s="370">
        <v>272</v>
      </c>
      <c r="I37" s="325">
        <v>43</v>
      </c>
      <c r="J37" s="370">
        <v>273</v>
      </c>
      <c r="K37" s="325">
        <v>42</v>
      </c>
      <c r="L37" s="370">
        <v>274</v>
      </c>
      <c r="M37" s="325">
        <v>41</v>
      </c>
      <c r="N37" s="370">
        <v>275</v>
      </c>
      <c r="O37" s="325">
        <v>40</v>
      </c>
      <c r="P37" s="370">
        <v>276</v>
      </c>
      <c r="Q37" s="325">
        <v>39</v>
      </c>
      <c r="R37" s="370">
        <v>277</v>
      </c>
      <c r="S37" s="325">
        <v>38</v>
      </c>
      <c r="T37" s="370">
        <v>278</v>
      </c>
      <c r="U37" s="325">
        <v>37</v>
      </c>
      <c r="V37" s="370">
        <v>279</v>
      </c>
      <c r="W37" s="325">
        <v>37</v>
      </c>
      <c r="X37" s="370">
        <v>280</v>
      </c>
      <c r="Y37" s="325">
        <v>36</v>
      </c>
      <c r="Z37" s="370">
        <v>281</v>
      </c>
      <c r="AA37" s="325">
        <v>35</v>
      </c>
      <c r="AB37" s="370">
        <v>282</v>
      </c>
      <c r="AC37" s="325">
        <v>34</v>
      </c>
      <c r="AD37" s="370">
        <v>283</v>
      </c>
      <c r="AE37" s="325">
        <v>33</v>
      </c>
      <c r="AF37" s="370">
        <v>284</v>
      </c>
      <c r="AG37" s="325">
        <v>32</v>
      </c>
      <c r="AH37" s="370">
        <v>285</v>
      </c>
      <c r="AI37" s="371">
        <v>31</v>
      </c>
      <c r="AJ37" s="310"/>
      <c r="AK37" s="310"/>
    </row>
    <row r="38" spans="1:37" ht="15.75">
      <c r="A38" s="310"/>
      <c r="B38" s="310"/>
      <c r="C38" s="384">
        <v>19</v>
      </c>
      <c r="D38" s="370">
        <v>285</v>
      </c>
      <c r="E38" s="325">
        <v>47</v>
      </c>
      <c r="F38" s="370">
        <v>286</v>
      </c>
      <c r="G38" s="325">
        <v>46</v>
      </c>
      <c r="H38" s="370">
        <v>287</v>
      </c>
      <c r="I38" s="325">
        <v>45</v>
      </c>
      <c r="J38" s="370">
        <v>288</v>
      </c>
      <c r="K38" s="325">
        <v>44</v>
      </c>
      <c r="L38" s="370">
        <v>289</v>
      </c>
      <c r="M38" s="325">
        <v>43</v>
      </c>
      <c r="N38" s="370">
        <v>290</v>
      </c>
      <c r="O38" s="325">
        <v>43</v>
      </c>
      <c r="P38" s="370">
        <v>291</v>
      </c>
      <c r="Q38" s="325">
        <v>42</v>
      </c>
      <c r="R38" s="370">
        <v>292</v>
      </c>
      <c r="S38" s="325">
        <v>41</v>
      </c>
      <c r="T38" s="370">
        <v>293</v>
      </c>
      <c r="U38" s="325">
        <v>40</v>
      </c>
      <c r="V38" s="370">
        <v>294</v>
      </c>
      <c r="W38" s="325">
        <v>39</v>
      </c>
      <c r="X38" s="370">
        <v>295</v>
      </c>
      <c r="Y38" s="325">
        <v>38</v>
      </c>
      <c r="Z38" s="370">
        <v>296</v>
      </c>
      <c r="AA38" s="325">
        <v>37</v>
      </c>
      <c r="AB38" s="370">
        <v>297</v>
      </c>
      <c r="AC38" s="325">
        <v>36</v>
      </c>
      <c r="AD38" s="370">
        <v>298</v>
      </c>
      <c r="AE38" s="325">
        <v>36</v>
      </c>
      <c r="AF38" s="370">
        <v>299</v>
      </c>
      <c r="AG38" s="325">
        <v>35</v>
      </c>
      <c r="AH38" s="370">
        <v>300</v>
      </c>
      <c r="AI38" s="371">
        <v>34</v>
      </c>
      <c r="AJ38" s="310"/>
      <c r="AK38" s="310"/>
    </row>
    <row r="39" spans="1:37" ht="24" customHeight="1">
      <c r="A39" s="310"/>
      <c r="B39" s="310"/>
      <c r="C39" s="384">
        <v>20</v>
      </c>
      <c r="D39" s="370">
        <v>300</v>
      </c>
      <c r="E39" s="325">
        <v>49</v>
      </c>
      <c r="F39" s="370">
        <v>301</v>
      </c>
      <c r="G39" s="325">
        <v>48</v>
      </c>
      <c r="H39" s="370">
        <v>302</v>
      </c>
      <c r="I39" s="325">
        <v>48</v>
      </c>
      <c r="J39" s="370">
        <v>303</v>
      </c>
      <c r="K39" s="325">
        <v>47</v>
      </c>
      <c r="L39" s="370">
        <v>304</v>
      </c>
      <c r="M39" s="325">
        <v>46</v>
      </c>
      <c r="N39" s="370">
        <v>305</v>
      </c>
      <c r="O39" s="325">
        <v>45</v>
      </c>
      <c r="P39" s="370">
        <v>306</v>
      </c>
      <c r="Q39" s="325">
        <v>44</v>
      </c>
      <c r="R39" s="370">
        <v>307</v>
      </c>
      <c r="S39" s="325">
        <v>43</v>
      </c>
      <c r="T39" s="370">
        <v>308</v>
      </c>
      <c r="U39" s="325">
        <v>42</v>
      </c>
      <c r="V39" s="370">
        <v>309</v>
      </c>
      <c r="W39" s="325">
        <v>42</v>
      </c>
      <c r="X39" s="370">
        <v>310</v>
      </c>
      <c r="Y39" s="325">
        <v>41</v>
      </c>
      <c r="Z39" s="370">
        <v>311</v>
      </c>
      <c r="AA39" s="325">
        <v>40</v>
      </c>
      <c r="AB39" s="370">
        <v>312</v>
      </c>
      <c r="AC39" s="325">
        <v>39</v>
      </c>
      <c r="AD39" s="370">
        <v>313</v>
      </c>
      <c r="AE39" s="325">
        <v>38</v>
      </c>
      <c r="AF39" s="370">
        <v>314</v>
      </c>
      <c r="AG39" s="325">
        <v>37</v>
      </c>
      <c r="AH39" s="370">
        <v>315</v>
      </c>
      <c r="AI39" s="371">
        <v>36</v>
      </c>
      <c r="AJ39" s="310"/>
      <c r="AK39" s="310"/>
    </row>
    <row r="40" spans="1:37" ht="15.75">
      <c r="A40" s="310"/>
      <c r="B40" s="310"/>
      <c r="C40" s="384">
        <v>21</v>
      </c>
      <c r="D40" s="370">
        <v>315</v>
      </c>
      <c r="E40" s="325">
        <v>52</v>
      </c>
      <c r="F40" s="370">
        <v>316</v>
      </c>
      <c r="G40" s="325">
        <v>51</v>
      </c>
      <c r="H40" s="370">
        <v>317</v>
      </c>
      <c r="I40" s="325">
        <v>50</v>
      </c>
      <c r="J40" s="370">
        <v>318</v>
      </c>
      <c r="K40" s="325">
        <v>49</v>
      </c>
      <c r="L40" s="370">
        <v>319</v>
      </c>
      <c r="M40" s="325">
        <v>48</v>
      </c>
      <c r="N40" s="370">
        <v>320</v>
      </c>
      <c r="O40" s="325">
        <v>47</v>
      </c>
      <c r="P40" s="370">
        <v>321</v>
      </c>
      <c r="Q40" s="325">
        <v>47</v>
      </c>
      <c r="R40" s="370">
        <v>322</v>
      </c>
      <c r="S40" s="325">
        <v>46</v>
      </c>
      <c r="T40" s="370">
        <v>323</v>
      </c>
      <c r="U40" s="325">
        <v>45</v>
      </c>
      <c r="V40" s="370">
        <v>324</v>
      </c>
      <c r="W40" s="325">
        <v>44</v>
      </c>
      <c r="X40" s="370">
        <v>325</v>
      </c>
      <c r="Y40" s="325">
        <v>43</v>
      </c>
      <c r="Z40" s="370">
        <v>326</v>
      </c>
      <c r="AA40" s="325">
        <v>42</v>
      </c>
      <c r="AB40" s="370">
        <v>327</v>
      </c>
      <c r="AC40" s="325">
        <v>41</v>
      </c>
      <c r="AD40" s="370">
        <v>328</v>
      </c>
      <c r="AE40" s="325">
        <v>41</v>
      </c>
      <c r="AF40" s="370">
        <v>329</v>
      </c>
      <c r="AG40" s="325">
        <v>40</v>
      </c>
      <c r="AH40" s="370">
        <v>330</v>
      </c>
      <c r="AI40" s="371">
        <v>39</v>
      </c>
      <c r="AJ40" s="310"/>
      <c r="AK40" s="310"/>
    </row>
    <row r="41" spans="1:37" ht="15.75">
      <c r="A41" s="310"/>
      <c r="B41" s="310"/>
      <c r="C41" s="384">
        <v>22</v>
      </c>
      <c r="D41" s="370">
        <v>330</v>
      </c>
      <c r="E41" s="325">
        <v>54</v>
      </c>
      <c r="F41" s="370">
        <v>331</v>
      </c>
      <c r="G41" s="325">
        <v>53</v>
      </c>
      <c r="H41" s="370">
        <v>332</v>
      </c>
      <c r="I41" s="325">
        <v>52</v>
      </c>
      <c r="J41" s="370">
        <v>333</v>
      </c>
      <c r="K41" s="325">
        <v>52</v>
      </c>
      <c r="L41" s="370">
        <v>334</v>
      </c>
      <c r="M41" s="325">
        <v>51</v>
      </c>
      <c r="N41" s="370">
        <v>335</v>
      </c>
      <c r="O41" s="325">
        <v>50</v>
      </c>
      <c r="P41" s="370">
        <v>336</v>
      </c>
      <c r="Q41" s="325">
        <v>49</v>
      </c>
      <c r="R41" s="370">
        <v>337</v>
      </c>
      <c r="S41" s="325">
        <v>48</v>
      </c>
      <c r="T41" s="370">
        <v>338</v>
      </c>
      <c r="U41" s="325">
        <v>47</v>
      </c>
      <c r="V41" s="370">
        <v>339</v>
      </c>
      <c r="W41" s="325">
        <v>46</v>
      </c>
      <c r="X41" s="370">
        <v>340</v>
      </c>
      <c r="Y41" s="325">
        <v>46</v>
      </c>
      <c r="Z41" s="370">
        <v>341</v>
      </c>
      <c r="AA41" s="325">
        <v>45</v>
      </c>
      <c r="AB41" s="370">
        <v>342</v>
      </c>
      <c r="AC41" s="325">
        <v>44</v>
      </c>
      <c r="AD41" s="370">
        <v>343</v>
      </c>
      <c r="AE41" s="325">
        <v>43</v>
      </c>
      <c r="AF41" s="370">
        <v>344</v>
      </c>
      <c r="AG41" s="325">
        <v>42</v>
      </c>
      <c r="AH41" s="370">
        <v>345</v>
      </c>
      <c r="AI41" s="371">
        <v>41</v>
      </c>
      <c r="AJ41" s="310"/>
      <c r="AK41" s="310"/>
    </row>
    <row r="42" spans="1:37" ht="15.75">
      <c r="A42" s="310"/>
      <c r="B42" s="310"/>
      <c r="C42" s="385">
        <v>23</v>
      </c>
      <c r="D42" s="386">
        <v>345</v>
      </c>
      <c r="E42" s="328">
        <v>57</v>
      </c>
      <c r="F42" s="386">
        <v>346</v>
      </c>
      <c r="G42" s="328">
        <v>56</v>
      </c>
      <c r="H42" s="386">
        <v>347</v>
      </c>
      <c r="I42" s="328">
        <v>55</v>
      </c>
      <c r="J42" s="386">
        <v>348</v>
      </c>
      <c r="K42" s="328">
        <v>54</v>
      </c>
      <c r="L42" s="386">
        <v>349</v>
      </c>
      <c r="M42" s="328">
        <v>53</v>
      </c>
      <c r="N42" s="386">
        <v>350</v>
      </c>
      <c r="O42" s="328">
        <v>52</v>
      </c>
      <c r="P42" s="386">
        <v>351</v>
      </c>
      <c r="Q42" s="328">
        <v>52</v>
      </c>
      <c r="R42" s="386">
        <v>352</v>
      </c>
      <c r="S42" s="328">
        <v>51</v>
      </c>
      <c r="T42" s="386">
        <v>353</v>
      </c>
      <c r="U42" s="328">
        <v>50</v>
      </c>
      <c r="V42" s="386">
        <v>354</v>
      </c>
      <c r="W42" s="328">
        <v>49</v>
      </c>
      <c r="X42" s="386">
        <v>355</v>
      </c>
      <c r="Y42" s="328">
        <v>48</v>
      </c>
      <c r="Z42" s="386">
        <v>356</v>
      </c>
      <c r="AA42" s="328">
        <v>47</v>
      </c>
      <c r="AB42" s="386">
        <v>357</v>
      </c>
      <c r="AC42" s="328">
        <v>46</v>
      </c>
      <c r="AD42" s="386">
        <v>358</v>
      </c>
      <c r="AE42" s="328">
        <v>45</v>
      </c>
      <c r="AF42" s="386">
        <v>359</v>
      </c>
      <c r="AG42" s="328">
        <v>45</v>
      </c>
      <c r="AH42" s="386">
        <v>0</v>
      </c>
      <c r="AI42" s="387">
        <v>44</v>
      </c>
      <c r="AJ42" s="310"/>
      <c r="AK42" s="310"/>
    </row>
    <row r="43" spans="1:37" s="378" customFormat="1" ht="18.75" customHeight="1">
      <c r="A43" s="376"/>
      <c r="B43" s="376"/>
      <c r="C43" s="388" t="s">
        <v>204</v>
      </c>
      <c r="D43" s="869">
        <v>17</v>
      </c>
      <c r="E43" s="870"/>
      <c r="F43" s="869">
        <v>18</v>
      </c>
      <c r="G43" s="870"/>
      <c r="H43" s="869">
        <v>19</v>
      </c>
      <c r="I43" s="870"/>
      <c r="J43" s="869">
        <v>20</v>
      </c>
      <c r="K43" s="870"/>
      <c r="L43" s="869">
        <v>21</v>
      </c>
      <c r="M43" s="870"/>
      <c r="N43" s="869">
        <v>22</v>
      </c>
      <c r="O43" s="870"/>
      <c r="P43" s="869">
        <v>23</v>
      </c>
      <c r="Q43" s="870"/>
      <c r="R43" s="869">
        <v>24</v>
      </c>
      <c r="S43" s="870"/>
      <c r="T43" s="869">
        <v>25</v>
      </c>
      <c r="U43" s="870"/>
      <c r="V43" s="869">
        <v>26</v>
      </c>
      <c r="W43" s="870"/>
      <c r="X43" s="869">
        <v>27</v>
      </c>
      <c r="Y43" s="870"/>
      <c r="Z43" s="869">
        <v>28</v>
      </c>
      <c r="AA43" s="870"/>
      <c r="AB43" s="869">
        <v>29</v>
      </c>
      <c r="AC43" s="870"/>
      <c r="AD43" s="869">
        <v>30</v>
      </c>
      <c r="AE43" s="870"/>
      <c r="AF43" s="869">
        <v>31</v>
      </c>
      <c r="AG43" s="870"/>
      <c r="AH43" s="869">
        <v>32</v>
      </c>
      <c r="AI43" s="874"/>
      <c r="AJ43" s="376"/>
      <c r="AK43" s="376"/>
    </row>
    <row r="44" spans="1:37" s="368" customFormat="1" ht="18.75">
      <c r="A44" s="362"/>
      <c r="B44" s="362"/>
      <c r="C44" s="379" t="s">
        <v>205</v>
      </c>
      <c r="D44" s="365" t="s">
        <v>200</v>
      </c>
      <c r="E44" s="366" t="s">
        <v>201</v>
      </c>
      <c r="F44" s="365" t="s">
        <v>200</v>
      </c>
      <c r="G44" s="366" t="s">
        <v>201</v>
      </c>
      <c r="H44" s="365" t="s">
        <v>200</v>
      </c>
      <c r="I44" s="366" t="s">
        <v>201</v>
      </c>
      <c r="J44" s="365" t="s">
        <v>200</v>
      </c>
      <c r="K44" s="366" t="s">
        <v>201</v>
      </c>
      <c r="L44" s="365" t="s">
        <v>200</v>
      </c>
      <c r="M44" s="366" t="s">
        <v>201</v>
      </c>
      <c r="N44" s="365" t="s">
        <v>200</v>
      </c>
      <c r="O44" s="366" t="s">
        <v>201</v>
      </c>
      <c r="P44" s="365" t="s">
        <v>200</v>
      </c>
      <c r="Q44" s="366" t="s">
        <v>201</v>
      </c>
      <c r="R44" s="365" t="s">
        <v>200</v>
      </c>
      <c r="S44" s="366" t="s">
        <v>201</v>
      </c>
      <c r="T44" s="365" t="s">
        <v>200</v>
      </c>
      <c r="U44" s="366" t="s">
        <v>201</v>
      </c>
      <c r="V44" s="365" t="s">
        <v>200</v>
      </c>
      <c r="W44" s="366" t="s">
        <v>201</v>
      </c>
      <c r="X44" s="365" t="s">
        <v>200</v>
      </c>
      <c r="Y44" s="366" t="s">
        <v>201</v>
      </c>
      <c r="Z44" s="365" t="s">
        <v>200</v>
      </c>
      <c r="AA44" s="366" t="s">
        <v>201</v>
      </c>
      <c r="AB44" s="365" t="s">
        <v>200</v>
      </c>
      <c r="AC44" s="366" t="s">
        <v>201</v>
      </c>
      <c r="AD44" s="365" t="s">
        <v>200</v>
      </c>
      <c r="AE44" s="366" t="s">
        <v>201</v>
      </c>
      <c r="AF44" s="365" t="s">
        <v>200</v>
      </c>
      <c r="AG44" s="366" t="s">
        <v>201</v>
      </c>
      <c r="AH44" s="365" t="s">
        <v>200</v>
      </c>
      <c r="AI44" s="367" t="s">
        <v>201</v>
      </c>
      <c r="AJ44" s="362"/>
      <c r="AK44" s="362"/>
    </row>
    <row r="45" spans="1:37" ht="15.75">
      <c r="A45" s="310"/>
      <c r="B45" s="310"/>
      <c r="C45" s="384">
        <v>0</v>
      </c>
      <c r="D45" s="370">
        <v>15</v>
      </c>
      <c r="E45" s="325">
        <v>46</v>
      </c>
      <c r="F45" s="370">
        <v>16</v>
      </c>
      <c r="G45" s="325">
        <v>45</v>
      </c>
      <c r="H45" s="370">
        <v>17</v>
      </c>
      <c r="I45" s="325">
        <v>44</v>
      </c>
      <c r="J45" s="370">
        <v>18</v>
      </c>
      <c r="K45" s="325">
        <v>44</v>
      </c>
      <c r="L45" s="370">
        <v>19</v>
      </c>
      <c r="M45" s="325">
        <v>43</v>
      </c>
      <c r="N45" s="370">
        <v>20</v>
      </c>
      <c r="O45" s="325">
        <v>42</v>
      </c>
      <c r="P45" s="370">
        <v>21</v>
      </c>
      <c r="Q45" s="325">
        <v>41</v>
      </c>
      <c r="R45" s="370">
        <v>22</v>
      </c>
      <c r="S45" s="325">
        <v>40</v>
      </c>
      <c r="T45" s="370">
        <v>23</v>
      </c>
      <c r="U45" s="325">
        <v>39</v>
      </c>
      <c r="V45" s="370">
        <v>24</v>
      </c>
      <c r="W45" s="325">
        <v>38</v>
      </c>
      <c r="X45" s="370">
        <v>25</v>
      </c>
      <c r="Y45" s="325">
        <v>38</v>
      </c>
      <c r="Z45" s="370">
        <v>26</v>
      </c>
      <c r="AA45" s="325">
        <v>37</v>
      </c>
      <c r="AB45" s="370">
        <v>27</v>
      </c>
      <c r="AC45" s="325">
        <v>36</v>
      </c>
      <c r="AD45" s="370">
        <v>28</v>
      </c>
      <c r="AE45" s="325">
        <v>35</v>
      </c>
      <c r="AF45" s="370">
        <v>29</v>
      </c>
      <c r="AG45" s="325">
        <v>34</v>
      </c>
      <c r="AH45" s="370">
        <v>30</v>
      </c>
      <c r="AI45" s="371">
        <v>33</v>
      </c>
      <c r="AJ45" s="310"/>
      <c r="AK45" s="310"/>
    </row>
    <row r="46" spans="1:37" ht="15.75">
      <c r="A46" s="310"/>
      <c r="B46" s="310"/>
      <c r="C46" s="384">
        <v>1</v>
      </c>
      <c r="D46" s="370">
        <v>30</v>
      </c>
      <c r="E46" s="325">
        <v>49</v>
      </c>
      <c r="F46" s="370">
        <v>31</v>
      </c>
      <c r="G46" s="325">
        <v>48</v>
      </c>
      <c r="H46" s="370">
        <v>32</v>
      </c>
      <c r="I46" s="325">
        <v>47</v>
      </c>
      <c r="J46" s="370">
        <v>33</v>
      </c>
      <c r="K46" s="325">
        <v>46</v>
      </c>
      <c r="L46" s="370">
        <v>34</v>
      </c>
      <c r="M46" s="325">
        <v>45</v>
      </c>
      <c r="N46" s="370">
        <v>35</v>
      </c>
      <c r="O46" s="325">
        <v>44</v>
      </c>
      <c r="P46" s="370">
        <v>36</v>
      </c>
      <c r="Q46" s="325">
        <v>44</v>
      </c>
      <c r="R46" s="370">
        <v>37</v>
      </c>
      <c r="S46" s="325">
        <v>43</v>
      </c>
      <c r="T46" s="370">
        <v>38</v>
      </c>
      <c r="U46" s="325">
        <v>42</v>
      </c>
      <c r="V46" s="370">
        <v>39</v>
      </c>
      <c r="W46" s="325">
        <v>41</v>
      </c>
      <c r="X46" s="370">
        <v>40</v>
      </c>
      <c r="Y46" s="325">
        <v>40</v>
      </c>
      <c r="Z46" s="370">
        <v>41</v>
      </c>
      <c r="AA46" s="325">
        <v>39</v>
      </c>
      <c r="AB46" s="370">
        <v>42</v>
      </c>
      <c r="AC46" s="325">
        <v>38</v>
      </c>
      <c r="AD46" s="370">
        <v>43</v>
      </c>
      <c r="AE46" s="325">
        <v>37</v>
      </c>
      <c r="AF46" s="370">
        <v>44</v>
      </c>
      <c r="AG46" s="325">
        <v>37</v>
      </c>
      <c r="AH46" s="370">
        <v>45</v>
      </c>
      <c r="AI46" s="371">
        <v>36</v>
      </c>
      <c r="AJ46" s="310"/>
      <c r="AK46" s="310"/>
    </row>
    <row r="47" spans="1:37" ht="15.75">
      <c r="A47" s="310"/>
      <c r="B47" s="310"/>
      <c r="C47" s="384">
        <v>2</v>
      </c>
      <c r="D47" s="370">
        <v>45</v>
      </c>
      <c r="E47" s="325">
        <v>51</v>
      </c>
      <c r="F47" s="370">
        <v>46</v>
      </c>
      <c r="G47" s="325">
        <v>50</v>
      </c>
      <c r="H47" s="370">
        <v>47</v>
      </c>
      <c r="I47" s="325">
        <v>49</v>
      </c>
      <c r="J47" s="370">
        <v>48</v>
      </c>
      <c r="K47" s="325">
        <v>49</v>
      </c>
      <c r="L47" s="370">
        <v>49</v>
      </c>
      <c r="M47" s="325">
        <v>48</v>
      </c>
      <c r="N47" s="370">
        <v>50</v>
      </c>
      <c r="O47" s="325">
        <v>47</v>
      </c>
      <c r="P47" s="370">
        <v>51</v>
      </c>
      <c r="Q47" s="325">
        <v>46</v>
      </c>
      <c r="R47" s="370">
        <v>52</v>
      </c>
      <c r="S47" s="325">
        <v>45</v>
      </c>
      <c r="T47" s="370">
        <v>53</v>
      </c>
      <c r="U47" s="325">
        <v>44</v>
      </c>
      <c r="V47" s="370">
        <v>54</v>
      </c>
      <c r="W47" s="325">
        <v>43</v>
      </c>
      <c r="X47" s="370">
        <v>55</v>
      </c>
      <c r="Y47" s="325">
        <v>43</v>
      </c>
      <c r="Z47" s="370">
        <v>56</v>
      </c>
      <c r="AA47" s="325">
        <v>42</v>
      </c>
      <c r="AB47" s="370">
        <v>57</v>
      </c>
      <c r="AC47" s="325">
        <v>41</v>
      </c>
      <c r="AD47" s="370">
        <v>58</v>
      </c>
      <c r="AE47" s="325">
        <v>40</v>
      </c>
      <c r="AF47" s="370">
        <v>59</v>
      </c>
      <c r="AG47" s="325">
        <v>39</v>
      </c>
      <c r="AH47" s="370">
        <v>60</v>
      </c>
      <c r="AI47" s="371">
        <v>38</v>
      </c>
      <c r="AJ47" s="310"/>
      <c r="AK47" s="310"/>
    </row>
    <row r="48" spans="1:37" ht="15.75">
      <c r="A48" s="310"/>
      <c r="B48" s="310"/>
      <c r="C48" s="384">
        <v>3</v>
      </c>
      <c r="D48" s="370">
        <v>60</v>
      </c>
      <c r="E48" s="325">
        <v>54</v>
      </c>
      <c r="F48" s="370">
        <v>61</v>
      </c>
      <c r="G48" s="325">
        <v>53</v>
      </c>
      <c r="H48" s="370">
        <v>62</v>
      </c>
      <c r="I48" s="325">
        <v>52</v>
      </c>
      <c r="J48" s="370">
        <v>63</v>
      </c>
      <c r="K48" s="325">
        <v>51</v>
      </c>
      <c r="L48" s="370">
        <v>64</v>
      </c>
      <c r="M48" s="325">
        <v>50</v>
      </c>
      <c r="N48" s="370">
        <v>65</v>
      </c>
      <c r="O48" s="325">
        <v>49</v>
      </c>
      <c r="P48" s="370">
        <v>66</v>
      </c>
      <c r="Q48" s="325">
        <v>48</v>
      </c>
      <c r="R48" s="370">
        <v>67</v>
      </c>
      <c r="S48" s="325">
        <v>48</v>
      </c>
      <c r="T48" s="370">
        <v>68</v>
      </c>
      <c r="U48" s="325">
        <v>47</v>
      </c>
      <c r="V48" s="370">
        <v>69</v>
      </c>
      <c r="W48" s="325">
        <v>46</v>
      </c>
      <c r="X48" s="370">
        <v>70</v>
      </c>
      <c r="Y48" s="325">
        <v>45</v>
      </c>
      <c r="Z48" s="370">
        <v>71</v>
      </c>
      <c r="AA48" s="325">
        <v>44</v>
      </c>
      <c r="AB48" s="370">
        <v>72</v>
      </c>
      <c r="AC48" s="325">
        <v>43</v>
      </c>
      <c r="AD48" s="370">
        <v>73</v>
      </c>
      <c r="AE48" s="325">
        <v>42</v>
      </c>
      <c r="AF48" s="370">
        <v>74</v>
      </c>
      <c r="AG48" s="325">
        <v>42</v>
      </c>
      <c r="AH48" s="370">
        <v>75</v>
      </c>
      <c r="AI48" s="371">
        <v>41</v>
      </c>
      <c r="AJ48" s="310"/>
      <c r="AK48" s="310"/>
    </row>
    <row r="49" spans="1:37" ht="15.75">
      <c r="A49" s="310"/>
      <c r="B49" s="310"/>
      <c r="C49" s="384">
        <v>4</v>
      </c>
      <c r="D49" s="370">
        <v>75</v>
      </c>
      <c r="E49" s="325">
        <v>56</v>
      </c>
      <c r="F49" s="370">
        <v>76</v>
      </c>
      <c r="G49" s="325">
        <v>55</v>
      </c>
      <c r="H49" s="370">
        <v>77</v>
      </c>
      <c r="I49" s="325">
        <v>54</v>
      </c>
      <c r="J49" s="370">
        <v>78</v>
      </c>
      <c r="K49" s="325">
        <v>53</v>
      </c>
      <c r="L49" s="370">
        <v>79</v>
      </c>
      <c r="M49" s="325">
        <v>53</v>
      </c>
      <c r="N49" s="370">
        <v>80</v>
      </c>
      <c r="O49" s="325">
        <v>52</v>
      </c>
      <c r="P49" s="370">
        <v>81</v>
      </c>
      <c r="Q49" s="325">
        <v>51</v>
      </c>
      <c r="R49" s="370">
        <v>82</v>
      </c>
      <c r="S49" s="325">
        <v>50</v>
      </c>
      <c r="T49" s="370">
        <v>83</v>
      </c>
      <c r="U49" s="325">
        <v>49</v>
      </c>
      <c r="V49" s="370">
        <v>84</v>
      </c>
      <c r="W49" s="325">
        <v>48</v>
      </c>
      <c r="X49" s="370">
        <v>85</v>
      </c>
      <c r="Y49" s="325">
        <v>47</v>
      </c>
      <c r="Z49" s="370">
        <v>86</v>
      </c>
      <c r="AA49" s="325">
        <v>47</v>
      </c>
      <c r="AB49" s="370">
        <v>87</v>
      </c>
      <c r="AC49" s="325">
        <v>46</v>
      </c>
      <c r="AD49" s="370">
        <v>88</v>
      </c>
      <c r="AE49" s="325">
        <v>45</v>
      </c>
      <c r="AF49" s="370">
        <v>89</v>
      </c>
      <c r="AG49" s="325">
        <v>44</v>
      </c>
      <c r="AH49" s="370">
        <v>90</v>
      </c>
      <c r="AI49" s="371">
        <v>43</v>
      </c>
      <c r="AJ49" s="310"/>
      <c r="AK49" s="310"/>
    </row>
    <row r="50" spans="1:37" ht="24" customHeight="1">
      <c r="A50" s="310"/>
      <c r="B50" s="310"/>
      <c r="C50" s="384">
        <v>5</v>
      </c>
      <c r="D50" s="370">
        <v>90</v>
      </c>
      <c r="E50" s="325">
        <v>59</v>
      </c>
      <c r="F50" s="370">
        <v>91</v>
      </c>
      <c r="G50" s="325">
        <v>58</v>
      </c>
      <c r="H50" s="370">
        <v>92</v>
      </c>
      <c r="I50" s="325">
        <v>57</v>
      </c>
      <c r="J50" s="370">
        <v>93</v>
      </c>
      <c r="K50" s="325">
        <v>56</v>
      </c>
      <c r="L50" s="370">
        <v>94</v>
      </c>
      <c r="M50" s="325">
        <v>55</v>
      </c>
      <c r="N50" s="370">
        <v>95</v>
      </c>
      <c r="O50" s="325">
        <v>54</v>
      </c>
      <c r="P50" s="370">
        <v>96</v>
      </c>
      <c r="Q50" s="325">
        <v>53</v>
      </c>
      <c r="R50" s="370">
        <v>97</v>
      </c>
      <c r="S50" s="325">
        <v>53</v>
      </c>
      <c r="T50" s="370">
        <v>98</v>
      </c>
      <c r="U50" s="325">
        <v>52</v>
      </c>
      <c r="V50" s="370">
        <v>99</v>
      </c>
      <c r="W50" s="325">
        <v>51</v>
      </c>
      <c r="X50" s="370">
        <v>100</v>
      </c>
      <c r="Y50" s="325">
        <v>50</v>
      </c>
      <c r="Z50" s="370">
        <v>101</v>
      </c>
      <c r="AA50" s="325">
        <v>49</v>
      </c>
      <c r="AB50" s="370">
        <v>102</v>
      </c>
      <c r="AC50" s="325">
        <v>48</v>
      </c>
      <c r="AD50" s="370">
        <v>103</v>
      </c>
      <c r="AE50" s="325">
        <v>47</v>
      </c>
      <c r="AF50" s="370">
        <v>104</v>
      </c>
      <c r="AG50" s="325">
        <v>46</v>
      </c>
      <c r="AH50" s="370">
        <v>105</v>
      </c>
      <c r="AI50" s="371">
        <v>46</v>
      </c>
      <c r="AJ50" s="310"/>
      <c r="AK50" s="310"/>
    </row>
    <row r="51" spans="1:37" ht="15.75">
      <c r="A51" s="310"/>
      <c r="B51" s="310"/>
      <c r="C51" s="384">
        <v>6</v>
      </c>
      <c r="D51" s="370">
        <v>106</v>
      </c>
      <c r="E51" s="325">
        <v>1</v>
      </c>
      <c r="F51" s="370">
        <v>107</v>
      </c>
      <c r="G51" s="325">
        <v>0</v>
      </c>
      <c r="H51" s="370">
        <v>107</v>
      </c>
      <c r="I51" s="325">
        <v>59</v>
      </c>
      <c r="J51" s="370">
        <v>108</v>
      </c>
      <c r="K51" s="325">
        <v>58</v>
      </c>
      <c r="L51" s="370">
        <v>109</v>
      </c>
      <c r="M51" s="325">
        <v>58</v>
      </c>
      <c r="N51" s="370">
        <v>110</v>
      </c>
      <c r="O51" s="325">
        <v>57</v>
      </c>
      <c r="P51" s="370">
        <v>111</v>
      </c>
      <c r="Q51" s="325">
        <v>56</v>
      </c>
      <c r="R51" s="370">
        <v>112</v>
      </c>
      <c r="S51" s="325">
        <v>55</v>
      </c>
      <c r="T51" s="370">
        <v>113</v>
      </c>
      <c r="U51" s="325">
        <v>54</v>
      </c>
      <c r="V51" s="370">
        <v>114</v>
      </c>
      <c r="W51" s="325">
        <v>53</v>
      </c>
      <c r="X51" s="370">
        <v>115</v>
      </c>
      <c r="Y51" s="325">
        <v>52</v>
      </c>
      <c r="Z51" s="370">
        <v>116</v>
      </c>
      <c r="AA51" s="325">
        <v>52</v>
      </c>
      <c r="AB51" s="370">
        <v>117</v>
      </c>
      <c r="AC51" s="325">
        <v>51</v>
      </c>
      <c r="AD51" s="370">
        <v>118</v>
      </c>
      <c r="AE51" s="325">
        <v>50</v>
      </c>
      <c r="AF51" s="370">
        <v>119</v>
      </c>
      <c r="AG51" s="325">
        <v>49</v>
      </c>
      <c r="AH51" s="370">
        <v>120</v>
      </c>
      <c r="AI51" s="371">
        <v>48</v>
      </c>
      <c r="AJ51" s="310"/>
      <c r="AK51" s="310"/>
    </row>
    <row r="52" spans="1:37" ht="15.75">
      <c r="A52" s="310"/>
      <c r="B52" s="310"/>
      <c r="C52" s="384">
        <v>7</v>
      </c>
      <c r="D52" s="370">
        <v>121</v>
      </c>
      <c r="E52" s="325">
        <v>3</v>
      </c>
      <c r="F52" s="370">
        <v>122</v>
      </c>
      <c r="G52" s="325">
        <v>3</v>
      </c>
      <c r="H52" s="370">
        <v>123</v>
      </c>
      <c r="I52" s="325">
        <v>2</v>
      </c>
      <c r="J52" s="370">
        <v>124</v>
      </c>
      <c r="K52" s="325">
        <v>1</v>
      </c>
      <c r="L52" s="370">
        <v>125</v>
      </c>
      <c r="M52" s="325">
        <v>0</v>
      </c>
      <c r="N52" s="370">
        <v>125</v>
      </c>
      <c r="O52" s="325">
        <v>59</v>
      </c>
      <c r="P52" s="370">
        <v>126</v>
      </c>
      <c r="Q52" s="325">
        <v>58</v>
      </c>
      <c r="R52" s="370">
        <v>127</v>
      </c>
      <c r="S52" s="325">
        <v>57</v>
      </c>
      <c r="T52" s="370">
        <v>128</v>
      </c>
      <c r="U52" s="325">
        <v>57</v>
      </c>
      <c r="V52" s="370">
        <v>129</v>
      </c>
      <c r="W52" s="325">
        <v>56</v>
      </c>
      <c r="X52" s="370">
        <v>130</v>
      </c>
      <c r="Y52" s="325">
        <v>55</v>
      </c>
      <c r="Z52" s="370">
        <v>131</v>
      </c>
      <c r="AA52" s="325">
        <v>54</v>
      </c>
      <c r="AB52" s="370">
        <v>132</v>
      </c>
      <c r="AC52" s="325">
        <v>53</v>
      </c>
      <c r="AD52" s="370">
        <v>133</v>
      </c>
      <c r="AE52" s="325">
        <v>52</v>
      </c>
      <c r="AF52" s="370">
        <v>134</v>
      </c>
      <c r="AG52" s="325">
        <v>51</v>
      </c>
      <c r="AH52" s="370">
        <v>135</v>
      </c>
      <c r="AI52" s="371">
        <v>51</v>
      </c>
      <c r="AJ52" s="310"/>
      <c r="AK52" s="310"/>
    </row>
    <row r="53" spans="1:37" ht="15.75">
      <c r="A53" s="310"/>
      <c r="B53" s="310"/>
      <c r="C53" s="384">
        <v>8</v>
      </c>
      <c r="D53" s="370">
        <v>136</v>
      </c>
      <c r="E53" s="325">
        <v>6</v>
      </c>
      <c r="F53" s="370">
        <v>137</v>
      </c>
      <c r="G53" s="325">
        <v>5</v>
      </c>
      <c r="H53" s="370">
        <v>138</v>
      </c>
      <c r="I53" s="325">
        <v>4</v>
      </c>
      <c r="J53" s="370">
        <v>139</v>
      </c>
      <c r="K53" s="325">
        <v>3</v>
      </c>
      <c r="L53" s="370">
        <v>140</v>
      </c>
      <c r="M53" s="325">
        <v>2</v>
      </c>
      <c r="N53" s="370">
        <v>141</v>
      </c>
      <c r="O53" s="325">
        <v>2</v>
      </c>
      <c r="P53" s="370">
        <v>142</v>
      </c>
      <c r="Q53" s="325">
        <v>1</v>
      </c>
      <c r="R53" s="370">
        <v>143</v>
      </c>
      <c r="S53" s="325">
        <v>0</v>
      </c>
      <c r="T53" s="370">
        <v>143</v>
      </c>
      <c r="U53" s="325">
        <v>59</v>
      </c>
      <c r="V53" s="370">
        <v>144</v>
      </c>
      <c r="W53" s="325">
        <v>58</v>
      </c>
      <c r="X53" s="370">
        <v>145</v>
      </c>
      <c r="Y53" s="325">
        <v>57</v>
      </c>
      <c r="Z53" s="370">
        <v>146</v>
      </c>
      <c r="AA53" s="325">
        <v>56</v>
      </c>
      <c r="AB53" s="370">
        <v>147</v>
      </c>
      <c r="AC53" s="325">
        <v>56</v>
      </c>
      <c r="AD53" s="370">
        <v>148</v>
      </c>
      <c r="AE53" s="325">
        <v>55</v>
      </c>
      <c r="AF53" s="370">
        <v>149</v>
      </c>
      <c r="AG53" s="325">
        <v>54</v>
      </c>
      <c r="AH53" s="370">
        <v>150</v>
      </c>
      <c r="AI53" s="371">
        <v>53</v>
      </c>
      <c r="AJ53" s="310"/>
      <c r="AK53" s="310"/>
    </row>
    <row r="54" spans="1:37" ht="15.75">
      <c r="A54" s="310"/>
      <c r="B54" s="310"/>
      <c r="C54" s="384">
        <v>9</v>
      </c>
      <c r="D54" s="370">
        <v>151</v>
      </c>
      <c r="E54" s="325">
        <v>8</v>
      </c>
      <c r="F54" s="370">
        <v>152</v>
      </c>
      <c r="G54" s="325">
        <v>8</v>
      </c>
      <c r="H54" s="370">
        <v>153</v>
      </c>
      <c r="I54" s="325">
        <v>7</v>
      </c>
      <c r="J54" s="370">
        <v>154</v>
      </c>
      <c r="K54" s="325">
        <v>6</v>
      </c>
      <c r="L54" s="370">
        <v>155</v>
      </c>
      <c r="M54" s="325">
        <v>5</v>
      </c>
      <c r="N54" s="370">
        <v>156</v>
      </c>
      <c r="O54" s="325">
        <v>4</v>
      </c>
      <c r="P54" s="370">
        <v>157</v>
      </c>
      <c r="Q54" s="325">
        <v>3</v>
      </c>
      <c r="R54" s="370">
        <v>158</v>
      </c>
      <c r="S54" s="325">
        <v>2</v>
      </c>
      <c r="T54" s="370">
        <v>159</v>
      </c>
      <c r="U54" s="325">
        <v>2</v>
      </c>
      <c r="V54" s="370">
        <v>160</v>
      </c>
      <c r="W54" s="325">
        <v>1</v>
      </c>
      <c r="X54" s="370">
        <v>161</v>
      </c>
      <c r="Y54" s="325">
        <v>0</v>
      </c>
      <c r="Z54" s="370">
        <v>161</v>
      </c>
      <c r="AA54" s="325">
        <v>59</v>
      </c>
      <c r="AB54" s="370">
        <v>162</v>
      </c>
      <c r="AC54" s="325">
        <v>58</v>
      </c>
      <c r="AD54" s="370">
        <v>163</v>
      </c>
      <c r="AE54" s="325">
        <v>57</v>
      </c>
      <c r="AF54" s="370">
        <v>164</v>
      </c>
      <c r="AG54" s="325">
        <v>56</v>
      </c>
      <c r="AH54" s="370">
        <v>165</v>
      </c>
      <c r="AI54" s="371">
        <v>55</v>
      </c>
      <c r="AJ54" s="310"/>
      <c r="AK54" s="310"/>
    </row>
    <row r="55" spans="1:37" ht="24" customHeight="1">
      <c r="A55" s="310"/>
      <c r="B55" s="310"/>
      <c r="C55" s="384">
        <v>10</v>
      </c>
      <c r="D55" s="370">
        <v>166</v>
      </c>
      <c r="E55" s="325">
        <v>11</v>
      </c>
      <c r="F55" s="370">
        <v>167</v>
      </c>
      <c r="G55" s="325">
        <v>10</v>
      </c>
      <c r="H55" s="370">
        <v>168</v>
      </c>
      <c r="I55" s="325">
        <v>9</v>
      </c>
      <c r="J55" s="370">
        <v>169</v>
      </c>
      <c r="K55" s="325">
        <v>8</v>
      </c>
      <c r="L55" s="370">
        <v>170</v>
      </c>
      <c r="M55" s="325">
        <v>7</v>
      </c>
      <c r="N55" s="370">
        <v>171</v>
      </c>
      <c r="O55" s="325">
        <v>7</v>
      </c>
      <c r="P55" s="370">
        <v>172</v>
      </c>
      <c r="Q55" s="325">
        <v>6</v>
      </c>
      <c r="R55" s="370">
        <v>173</v>
      </c>
      <c r="S55" s="325">
        <v>5</v>
      </c>
      <c r="T55" s="370">
        <v>174</v>
      </c>
      <c r="U55" s="325">
        <v>4</v>
      </c>
      <c r="V55" s="370">
        <v>175</v>
      </c>
      <c r="W55" s="325">
        <v>3</v>
      </c>
      <c r="X55" s="370">
        <v>176</v>
      </c>
      <c r="Y55" s="325">
        <v>2</v>
      </c>
      <c r="Z55" s="370">
        <v>177</v>
      </c>
      <c r="AA55" s="325">
        <v>1</v>
      </c>
      <c r="AB55" s="370">
        <v>178</v>
      </c>
      <c r="AC55" s="325">
        <v>1</v>
      </c>
      <c r="AD55" s="370">
        <v>179</v>
      </c>
      <c r="AE55" s="325">
        <v>0</v>
      </c>
      <c r="AF55" s="370">
        <v>179</v>
      </c>
      <c r="AG55" s="325">
        <v>59</v>
      </c>
      <c r="AH55" s="370">
        <v>180</v>
      </c>
      <c r="AI55" s="371">
        <v>58</v>
      </c>
      <c r="AJ55" s="310"/>
      <c r="AK55" s="310"/>
    </row>
    <row r="56" spans="1:37" ht="15.75">
      <c r="A56" s="310"/>
      <c r="B56" s="310"/>
      <c r="C56" s="384">
        <v>11</v>
      </c>
      <c r="D56" s="370">
        <v>181</v>
      </c>
      <c r="E56" s="325">
        <v>13</v>
      </c>
      <c r="F56" s="370">
        <v>182</v>
      </c>
      <c r="G56" s="325">
        <v>12</v>
      </c>
      <c r="H56" s="370">
        <v>183</v>
      </c>
      <c r="I56" s="325">
        <v>12</v>
      </c>
      <c r="J56" s="370">
        <v>184</v>
      </c>
      <c r="K56" s="325">
        <v>11</v>
      </c>
      <c r="L56" s="370">
        <v>185</v>
      </c>
      <c r="M56" s="325">
        <v>10</v>
      </c>
      <c r="N56" s="370">
        <v>186</v>
      </c>
      <c r="O56" s="325">
        <v>9</v>
      </c>
      <c r="P56" s="370">
        <v>187</v>
      </c>
      <c r="Q56" s="325">
        <v>8</v>
      </c>
      <c r="R56" s="370">
        <v>188</v>
      </c>
      <c r="S56" s="325">
        <v>7</v>
      </c>
      <c r="T56" s="370">
        <v>189</v>
      </c>
      <c r="U56" s="325">
        <v>6</v>
      </c>
      <c r="V56" s="370">
        <v>190</v>
      </c>
      <c r="W56" s="325">
        <v>6</v>
      </c>
      <c r="X56" s="370">
        <v>191</v>
      </c>
      <c r="Y56" s="325">
        <v>5</v>
      </c>
      <c r="Z56" s="370">
        <v>192</v>
      </c>
      <c r="AA56" s="325">
        <v>4</v>
      </c>
      <c r="AB56" s="370">
        <v>193</v>
      </c>
      <c r="AC56" s="325">
        <v>3</v>
      </c>
      <c r="AD56" s="370">
        <v>194</v>
      </c>
      <c r="AE56" s="325">
        <v>2</v>
      </c>
      <c r="AF56" s="370">
        <v>195</v>
      </c>
      <c r="AG56" s="325">
        <v>1</v>
      </c>
      <c r="AH56" s="370">
        <v>196</v>
      </c>
      <c r="AI56" s="371">
        <v>0</v>
      </c>
      <c r="AJ56" s="310"/>
      <c r="AK56" s="310"/>
    </row>
    <row r="57" spans="1:37" ht="15.75">
      <c r="A57" s="310"/>
      <c r="B57" s="310"/>
      <c r="C57" s="384">
        <v>12</v>
      </c>
      <c r="D57" s="370">
        <v>196</v>
      </c>
      <c r="E57" s="325">
        <v>16</v>
      </c>
      <c r="F57" s="370">
        <v>197</v>
      </c>
      <c r="G57" s="325">
        <v>15</v>
      </c>
      <c r="H57" s="370">
        <v>198</v>
      </c>
      <c r="I57" s="325">
        <v>14</v>
      </c>
      <c r="J57" s="370">
        <v>199</v>
      </c>
      <c r="K57" s="325">
        <v>13</v>
      </c>
      <c r="L57" s="370">
        <v>200</v>
      </c>
      <c r="M57" s="325">
        <v>12</v>
      </c>
      <c r="N57" s="370">
        <v>201</v>
      </c>
      <c r="O57" s="325">
        <v>11</v>
      </c>
      <c r="P57" s="370">
        <v>202</v>
      </c>
      <c r="Q57" s="325">
        <v>11</v>
      </c>
      <c r="R57" s="370">
        <v>203</v>
      </c>
      <c r="S57" s="325">
        <v>10</v>
      </c>
      <c r="T57" s="370">
        <v>204</v>
      </c>
      <c r="U57" s="325">
        <v>9</v>
      </c>
      <c r="V57" s="370">
        <v>205</v>
      </c>
      <c r="W57" s="325">
        <v>8</v>
      </c>
      <c r="X57" s="370">
        <v>206</v>
      </c>
      <c r="Y57" s="325">
        <v>7</v>
      </c>
      <c r="Z57" s="370">
        <v>207</v>
      </c>
      <c r="AA57" s="325">
        <v>6</v>
      </c>
      <c r="AB57" s="370">
        <v>208</v>
      </c>
      <c r="AC57" s="325">
        <v>5</v>
      </c>
      <c r="AD57" s="370">
        <v>209</v>
      </c>
      <c r="AE57" s="325">
        <v>5</v>
      </c>
      <c r="AF57" s="370">
        <v>210</v>
      </c>
      <c r="AG57" s="325">
        <v>4</v>
      </c>
      <c r="AH57" s="370">
        <v>211</v>
      </c>
      <c r="AI57" s="371">
        <v>3</v>
      </c>
      <c r="AJ57" s="310"/>
      <c r="AK57" s="310"/>
    </row>
    <row r="58" spans="1:37" ht="15.75">
      <c r="A58" s="310"/>
      <c r="B58" s="310"/>
      <c r="C58" s="384">
        <v>13</v>
      </c>
      <c r="D58" s="370">
        <v>211</v>
      </c>
      <c r="E58" s="325">
        <v>18</v>
      </c>
      <c r="F58" s="370">
        <v>212</v>
      </c>
      <c r="G58" s="325">
        <v>17</v>
      </c>
      <c r="H58" s="370">
        <v>213</v>
      </c>
      <c r="I58" s="325">
        <v>17</v>
      </c>
      <c r="J58" s="370">
        <v>214</v>
      </c>
      <c r="K58" s="325">
        <v>16</v>
      </c>
      <c r="L58" s="370">
        <v>215</v>
      </c>
      <c r="M58" s="325">
        <v>15</v>
      </c>
      <c r="N58" s="370">
        <v>216</v>
      </c>
      <c r="O58" s="325">
        <v>14</v>
      </c>
      <c r="P58" s="370">
        <v>217</v>
      </c>
      <c r="Q58" s="325">
        <v>13</v>
      </c>
      <c r="R58" s="370">
        <v>218</v>
      </c>
      <c r="S58" s="325">
        <v>12</v>
      </c>
      <c r="T58" s="370">
        <v>219</v>
      </c>
      <c r="U58" s="325">
        <v>11</v>
      </c>
      <c r="V58" s="370">
        <v>220</v>
      </c>
      <c r="W58" s="325">
        <v>11</v>
      </c>
      <c r="X58" s="370">
        <v>221</v>
      </c>
      <c r="Y58" s="325">
        <v>10</v>
      </c>
      <c r="Z58" s="370">
        <v>222</v>
      </c>
      <c r="AA58" s="325">
        <v>9</v>
      </c>
      <c r="AB58" s="370">
        <v>223</v>
      </c>
      <c r="AC58" s="325">
        <v>8</v>
      </c>
      <c r="AD58" s="370">
        <v>224</v>
      </c>
      <c r="AE58" s="325">
        <v>7</v>
      </c>
      <c r="AF58" s="370">
        <v>225</v>
      </c>
      <c r="AG58" s="325">
        <v>6</v>
      </c>
      <c r="AH58" s="370">
        <v>226</v>
      </c>
      <c r="AI58" s="371">
        <v>5</v>
      </c>
      <c r="AJ58" s="310"/>
      <c r="AK58" s="310"/>
    </row>
    <row r="59" spans="1:37" ht="15.75">
      <c r="A59" s="310"/>
      <c r="B59" s="310"/>
      <c r="C59" s="384">
        <v>14</v>
      </c>
      <c r="D59" s="370">
        <v>226</v>
      </c>
      <c r="E59" s="325">
        <v>21</v>
      </c>
      <c r="F59" s="370">
        <v>227</v>
      </c>
      <c r="G59" s="325">
        <v>20</v>
      </c>
      <c r="H59" s="370">
        <v>228</v>
      </c>
      <c r="I59" s="325">
        <v>19</v>
      </c>
      <c r="J59" s="370">
        <v>229</v>
      </c>
      <c r="K59" s="325">
        <v>18</v>
      </c>
      <c r="L59" s="370">
        <v>230</v>
      </c>
      <c r="M59" s="325">
        <v>17</v>
      </c>
      <c r="N59" s="370">
        <v>231</v>
      </c>
      <c r="O59" s="325">
        <v>16</v>
      </c>
      <c r="P59" s="370">
        <v>232</v>
      </c>
      <c r="Q59" s="325">
        <v>16</v>
      </c>
      <c r="R59" s="370">
        <v>233</v>
      </c>
      <c r="S59" s="325">
        <v>15</v>
      </c>
      <c r="T59" s="370">
        <v>234</v>
      </c>
      <c r="U59" s="325">
        <v>14</v>
      </c>
      <c r="V59" s="370">
        <v>235</v>
      </c>
      <c r="W59" s="325">
        <v>13</v>
      </c>
      <c r="X59" s="370">
        <v>236</v>
      </c>
      <c r="Y59" s="325">
        <v>12</v>
      </c>
      <c r="Z59" s="370">
        <v>237</v>
      </c>
      <c r="AA59" s="325">
        <v>11</v>
      </c>
      <c r="AB59" s="370">
        <v>238</v>
      </c>
      <c r="AC59" s="325">
        <v>10</v>
      </c>
      <c r="AD59" s="370">
        <v>239</v>
      </c>
      <c r="AE59" s="325">
        <v>10</v>
      </c>
      <c r="AF59" s="370">
        <v>240</v>
      </c>
      <c r="AG59" s="325">
        <v>9</v>
      </c>
      <c r="AH59" s="370">
        <v>241</v>
      </c>
      <c r="AI59" s="371">
        <v>8</v>
      </c>
      <c r="AJ59" s="310"/>
      <c r="AK59" s="310"/>
    </row>
    <row r="60" spans="1:37" ht="24" customHeight="1">
      <c r="A60" s="310"/>
      <c r="B60" s="310"/>
      <c r="C60" s="384">
        <v>15</v>
      </c>
      <c r="D60" s="370">
        <v>241</v>
      </c>
      <c r="E60" s="325">
        <v>23</v>
      </c>
      <c r="F60" s="370">
        <v>242</v>
      </c>
      <c r="G60" s="325">
        <v>22</v>
      </c>
      <c r="H60" s="370">
        <v>243</v>
      </c>
      <c r="I60" s="325">
        <v>21</v>
      </c>
      <c r="J60" s="370">
        <v>244</v>
      </c>
      <c r="K60" s="325">
        <v>21</v>
      </c>
      <c r="L60" s="370">
        <v>245</v>
      </c>
      <c r="M60" s="325">
        <v>20</v>
      </c>
      <c r="N60" s="370">
        <v>246</v>
      </c>
      <c r="O60" s="325">
        <v>19</v>
      </c>
      <c r="P60" s="370">
        <v>247</v>
      </c>
      <c r="Q60" s="325">
        <v>18</v>
      </c>
      <c r="R60" s="370">
        <v>248</v>
      </c>
      <c r="S60" s="325">
        <v>17</v>
      </c>
      <c r="T60" s="370">
        <v>249</v>
      </c>
      <c r="U60" s="325">
        <v>16</v>
      </c>
      <c r="V60" s="370">
        <v>250</v>
      </c>
      <c r="W60" s="325">
        <v>15</v>
      </c>
      <c r="X60" s="370">
        <v>251</v>
      </c>
      <c r="Y60" s="325">
        <v>15</v>
      </c>
      <c r="Z60" s="370">
        <v>252</v>
      </c>
      <c r="AA60" s="325">
        <v>14</v>
      </c>
      <c r="AB60" s="370">
        <v>253</v>
      </c>
      <c r="AC60" s="325">
        <v>13</v>
      </c>
      <c r="AD60" s="370">
        <v>254</v>
      </c>
      <c r="AE60" s="325">
        <v>12</v>
      </c>
      <c r="AF60" s="370">
        <v>255</v>
      </c>
      <c r="AG60" s="325">
        <v>11</v>
      </c>
      <c r="AH60" s="370">
        <v>256</v>
      </c>
      <c r="AI60" s="371">
        <v>10</v>
      </c>
      <c r="AJ60" s="310"/>
      <c r="AK60" s="310"/>
    </row>
    <row r="61" spans="1:37" ht="15.75">
      <c r="A61" s="310"/>
      <c r="B61" s="310"/>
      <c r="C61" s="384">
        <v>16</v>
      </c>
      <c r="D61" s="370">
        <v>256</v>
      </c>
      <c r="E61" s="325">
        <v>26</v>
      </c>
      <c r="F61" s="370">
        <v>257</v>
      </c>
      <c r="G61" s="325">
        <v>25</v>
      </c>
      <c r="H61" s="370">
        <v>258</v>
      </c>
      <c r="I61" s="325">
        <v>24</v>
      </c>
      <c r="J61" s="370">
        <v>259</v>
      </c>
      <c r="K61" s="325">
        <v>23</v>
      </c>
      <c r="L61" s="370">
        <v>260</v>
      </c>
      <c r="M61" s="325">
        <v>22</v>
      </c>
      <c r="N61" s="370">
        <v>261</v>
      </c>
      <c r="O61" s="325">
        <v>21</v>
      </c>
      <c r="P61" s="370">
        <v>262</v>
      </c>
      <c r="Q61" s="325">
        <v>20</v>
      </c>
      <c r="R61" s="370">
        <v>263</v>
      </c>
      <c r="S61" s="325">
        <v>20</v>
      </c>
      <c r="T61" s="370">
        <v>264</v>
      </c>
      <c r="U61" s="325">
        <v>19</v>
      </c>
      <c r="V61" s="370">
        <v>265</v>
      </c>
      <c r="W61" s="325">
        <v>18</v>
      </c>
      <c r="X61" s="370">
        <v>266</v>
      </c>
      <c r="Y61" s="325">
        <v>17</v>
      </c>
      <c r="Z61" s="370">
        <v>267</v>
      </c>
      <c r="AA61" s="325">
        <v>16</v>
      </c>
      <c r="AB61" s="370">
        <v>268</v>
      </c>
      <c r="AC61" s="325">
        <v>15</v>
      </c>
      <c r="AD61" s="370">
        <v>269</v>
      </c>
      <c r="AE61" s="325">
        <v>14</v>
      </c>
      <c r="AF61" s="370">
        <v>270</v>
      </c>
      <c r="AG61" s="325">
        <v>14</v>
      </c>
      <c r="AH61" s="370">
        <v>271</v>
      </c>
      <c r="AI61" s="371">
        <v>13</v>
      </c>
      <c r="AJ61" s="310"/>
      <c r="AK61" s="310"/>
    </row>
    <row r="62" spans="1:37" ht="15.75">
      <c r="A62" s="310"/>
      <c r="B62" s="310"/>
      <c r="C62" s="384">
        <v>17</v>
      </c>
      <c r="D62" s="370">
        <v>271</v>
      </c>
      <c r="E62" s="325">
        <v>28</v>
      </c>
      <c r="F62" s="370">
        <v>272</v>
      </c>
      <c r="G62" s="325">
        <v>27</v>
      </c>
      <c r="H62" s="370">
        <v>273</v>
      </c>
      <c r="I62" s="325">
        <v>26</v>
      </c>
      <c r="J62" s="370">
        <v>274</v>
      </c>
      <c r="K62" s="325">
        <v>26</v>
      </c>
      <c r="L62" s="370">
        <v>275</v>
      </c>
      <c r="M62" s="325">
        <v>25</v>
      </c>
      <c r="N62" s="370">
        <v>276</v>
      </c>
      <c r="O62" s="325">
        <v>24</v>
      </c>
      <c r="P62" s="370">
        <v>277</v>
      </c>
      <c r="Q62" s="325">
        <v>23</v>
      </c>
      <c r="R62" s="370">
        <v>278</v>
      </c>
      <c r="S62" s="325">
        <v>22</v>
      </c>
      <c r="T62" s="370">
        <v>279</v>
      </c>
      <c r="U62" s="325">
        <v>21</v>
      </c>
      <c r="V62" s="370">
        <v>280</v>
      </c>
      <c r="W62" s="325">
        <v>20</v>
      </c>
      <c r="X62" s="370">
        <v>281</v>
      </c>
      <c r="Y62" s="325">
        <v>19</v>
      </c>
      <c r="Z62" s="370">
        <v>282</v>
      </c>
      <c r="AA62" s="325">
        <v>19</v>
      </c>
      <c r="AB62" s="370">
        <v>283</v>
      </c>
      <c r="AC62" s="325">
        <v>18</v>
      </c>
      <c r="AD62" s="370">
        <v>284</v>
      </c>
      <c r="AE62" s="325">
        <v>17</v>
      </c>
      <c r="AF62" s="370">
        <v>285</v>
      </c>
      <c r="AG62" s="325">
        <v>16</v>
      </c>
      <c r="AH62" s="370">
        <v>286</v>
      </c>
      <c r="AI62" s="371">
        <v>15</v>
      </c>
      <c r="AJ62" s="310"/>
      <c r="AK62" s="310"/>
    </row>
    <row r="63" spans="1:37" ht="15.75">
      <c r="A63" s="310"/>
      <c r="B63" s="310"/>
      <c r="C63" s="384">
        <v>18</v>
      </c>
      <c r="D63" s="370">
        <v>286</v>
      </c>
      <c r="E63" s="325">
        <v>31</v>
      </c>
      <c r="F63" s="370">
        <v>287</v>
      </c>
      <c r="G63" s="325">
        <v>30</v>
      </c>
      <c r="H63" s="370">
        <v>288</v>
      </c>
      <c r="I63" s="325">
        <v>29</v>
      </c>
      <c r="J63" s="370">
        <v>289</v>
      </c>
      <c r="K63" s="325">
        <v>28</v>
      </c>
      <c r="L63" s="370">
        <v>290</v>
      </c>
      <c r="M63" s="325">
        <v>27</v>
      </c>
      <c r="N63" s="370">
        <v>291</v>
      </c>
      <c r="O63" s="325">
        <v>26</v>
      </c>
      <c r="P63" s="370">
        <v>292</v>
      </c>
      <c r="Q63" s="325">
        <v>25</v>
      </c>
      <c r="R63" s="370">
        <v>293</v>
      </c>
      <c r="S63" s="325">
        <v>25</v>
      </c>
      <c r="T63" s="370">
        <v>294</v>
      </c>
      <c r="U63" s="325">
        <v>24</v>
      </c>
      <c r="V63" s="370">
        <v>295</v>
      </c>
      <c r="W63" s="325">
        <v>23</v>
      </c>
      <c r="X63" s="370">
        <v>296</v>
      </c>
      <c r="Y63" s="325">
        <v>22</v>
      </c>
      <c r="Z63" s="370">
        <v>297</v>
      </c>
      <c r="AA63" s="325">
        <v>21</v>
      </c>
      <c r="AB63" s="370">
        <v>298</v>
      </c>
      <c r="AC63" s="325">
        <v>20</v>
      </c>
      <c r="AD63" s="370">
        <v>299</v>
      </c>
      <c r="AE63" s="325">
        <v>19</v>
      </c>
      <c r="AF63" s="370">
        <v>300</v>
      </c>
      <c r="AG63" s="325">
        <v>19</v>
      </c>
      <c r="AH63" s="370">
        <v>301</v>
      </c>
      <c r="AI63" s="371">
        <v>18</v>
      </c>
      <c r="AJ63" s="310"/>
      <c r="AK63" s="310"/>
    </row>
    <row r="64" spans="1:37" ht="15.75">
      <c r="A64" s="310"/>
      <c r="B64" s="310"/>
      <c r="C64" s="384">
        <v>19</v>
      </c>
      <c r="D64" s="370">
        <v>301</v>
      </c>
      <c r="E64" s="325">
        <v>33</v>
      </c>
      <c r="F64" s="370">
        <v>302</v>
      </c>
      <c r="G64" s="325">
        <v>32</v>
      </c>
      <c r="H64" s="370">
        <v>303</v>
      </c>
      <c r="I64" s="325">
        <v>31</v>
      </c>
      <c r="J64" s="370">
        <v>304</v>
      </c>
      <c r="K64" s="325">
        <v>30</v>
      </c>
      <c r="L64" s="370">
        <v>305</v>
      </c>
      <c r="M64" s="325">
        <v>30</v>
      </c>
      <c r="N64" s="370">
        <v>306</v>
      </c>
      <c r="O64" s="325">
        <v>29</v>
      </c>
      <c r="P64" s="370">
        <v>307</v>
      </c>
      <c r="Q64" s="325">
        <v>28</v>
      </c>
      <c r="R64" s="370">
        <v>308</v>
      </c>
      <c r="S64" s="325">
        <v>27</v>
      </c>
      <c r="T64" s="370">
        <v>309</v>
      </c>
      <c r="U64" s="325">
        <v>26</v>
      </c>
      <c r="V64" s="370">
        <v>310</v>
      </c>
      <c r="W64" s="325">
        <v>25</v>
      </c>
      <c r="X64" s="370">
        <v>311</v>
      </c>
      <c r="Y64" s="325">
        <v>24</v>
      </c>
      <c r="Z64" s="370">
        <v>312</v>
      </c>
      <c r="AA64" s="325">
        <v>24</v>
      </c>
      <c r="AB64" s="370">
        <v>313</v>
      </c>
      <c r="AC64" s="325">
        <v>23</v>
      </c>
      <c r="AD64" s="370">
        <v>314</v>
      </c>
      <c r="AE64" s="325">
        <v>22</v>
      </c>
      <c r="AF64" s="370">
        <v>315</v>
      </c>
      <c r="AG64" s="325">
        <v>21</v>
      </c>
      <c r="AH64" s="370">
        <v>316</v>
      </c>
      <c r="AI64" s="371">
        <v>20</v>
      </c>
      <c r="AJ64" s="310"/>
      <c r="AK64" s="310"/>
    </row>
    <row r="65" spans="1:37" ht="24" customHeight="1">
      <c r="A65" s="310"/>
      <c r="B65" s="310"/>
      <c r="C65" s="384">
        <v>20</v>
      </c>
      <c r="D65" s="370">
        <v>316</v>
      </c>
      <c r="E65" s="325">
        <v>36</v>
      </c>
      <c r="F65" s="370">
        <v>317</v>
      </c>
      <c r="G65" s="325">
        <v>35</v>
      </c>
      <c r="H65" s="370">
        <v>318</v>
      </c>
      <c r="I65" s="325">
        <v>34</v>
      </c>
      <c r="J65" s="370">
        <v>319</v>
      </c>
      <c r="K65" s="325">
        <v>33</v>
      </c>
      <c r="L65" s="370">
        <v>320</v>
      </c>
      <c r="M65" s="325">
        <v>32</v>
      </c>
      <c r="N65" s="370">
        <v>321</v>
      </c>
      <c r="O65" s="325">
        <v>31</v>
      </c>
      <c r="P65" s="370">
        <v>322</v>
      </c>
      <c r="Q65" s="325">
        <v>30</v>
      </c>
      <c r="R65" s="370">
        <v>323</v>
      </c>
      <c r="S65" s="325">
        <v>29</v>
      </c>
      <c r="T65" s="370">
        <v>324</v>
      </c>
      <c r="U65" s="325">
        <v>29</v>
      </c>
      <c r="V65" s="370">
        <v>325</v>
      </c>
      <c r="W65" s="325">
        <v>28</v>
      </c>
      <c r="X65" s="370">
        <v>326</v>
      </c>
      <c r="Y65" s="325">
        <v>27</v>
      </c>
      <c r="Z65" s="370">
        <v>327</v>
      </c>
      <c r="AA65" s="325">
        <v>26</v>
      </c>
      <c r="AB65" s="370">
        <v>328</v>
      </c>
      <c r="AC65" s="325">
        <v>25</v>
      </c>
      <c r="AD65" s="370">
        <v>329</v>
      </c>
      <c r="AE65" s="325">
        <v>24</v>
      </c>
      <c r="AF65" s="370">
        <v>330</v>
      </c>
      <c r="AG65" s="325">
        <v>23</v>
      </c>
      <c r="AH65" s="370">
        <v>331</v>
      </c>
      <c r="AI65" s="371">
        <v>23</v>
      </c>
      <c r="AJ65" s="310"/>
      <c r="AK65" s="310"/>
    </row>
    <row r="66" spans="1:37" ht="15.75">
      <c r="A66" s="310"/>
      <c r="B66" s="310"/>
      <c r="C66" s="384">
        <v>21</v>
      </c>
      <c r="D66" s="370">
        <v>331</v>
      </c>
      <c r="E66" s="325">
        <v>38</v>
      </c>
      <c r="F66" s="370">
        <v>332</v>
      </c>
      <c r="G66" s="325">
        <v>37</v>
      </c>
      <c r="H66" s="370">
        <v>333</v>
      </c>
      <c r="I66" s="325">
        <v>36</v>
      </c>
      <c r="J66" s="370">
        <v>334</v>
      </c>
      <c r="K66" s="325">
        <v>35</v>
      </c>
      <c r="L66" s="370">
        <v>335</v>
      </c>
      <c r="M66" s="325">
        <v>35</v>
      </c>
      <c r="N66" s="370">
        <v>336</v>
      </c>
      <c r="O66" s="325">
        <v>34</v>
      </c>
      <c r="P66" s="370">
        <v>337</v>
      </c>
      <c r="Q66" s="325">
        <v>33</v>
      </c>
      <c r="R66" s="370">
        <v>338</v>
      </c>
      <c r="S66" s="325">
        <v>32</v>
      </c>
      <c r="T66" s="370">
        <v>339</v>
      </c>
      <c r="U66" s="325">
        <v>31</v>
      </c>
      <c r="V66" s="370">
        <v>340</v>
      </c>
      <c r="W66" s="325">
        <v>30</v>
      </c>
      <c r="X66" s="370">
        <v>341</v>
      </c>
      <c r="Y66" s="325">
        <v>29</v>
      </c>
      <c r="Z66" s="370">
        <v>342</v>
      </c>
      <c r="AA66" s="325">
        <v>28</v>
      </c>
      <c r="AB66" s="370">
        <v>343</v>
      </c>
      <c r="AC66" s="325">
        <v>28</v>
      </c>
      <c r="AD66" s="370">
        <v>344</v>
      </c>
      <c r="AE66" s="325">
        <v>27</v>
      </c>
      <c r="AF66" s="370">
        <v>345</v>
      </c>
      <c r="AG66" s="325">
        <v>26</v>
      </c>
      <c r="AH66" s="370">
        <v>346</v>
      </c>
      <c r="AI66" s="371">
        <v>25</v>
      </c>
      <c r="AJ66" s="310"/>
      <c r="AK66" s="310"/>
    </row>
    <row r="67" spans="1:37" ht="15.75">
      <c r="A67" s="310"/>
      <c r="B67" s="310"/>
      <c r="C67" s="384">
        <v>22</v>
      </c>
      <c r="D67" s="370">
        <v>346</v>
      </c>
      <c r="E67" s="325">
        <v>40</v>
      </c>
      <c r="F67" s="370">
        <v>347</v>
      </c>
      <c r="G67" s="325">
        <v>40</v>
      </c>
      <c r="H67" s="370">
        <v>348</v>
      </c>
      <c r="I67" s="325">
        <v>39</v>
      </c>
      <c r="J67" s="370">
        <v>349</v>
      </c>
      <c r="K67" s="325">
        <v>38</v>
      </c>
      <c r="L67" s="370">
        <v>350</v>
      </c>
      <c r="M67" s="325">
        <v>37</v>
      </c>
      <c r="N67" s="370">
        <v>351</v>
      </c>
      <c r="O67" s="325">
        <v>36</v>
      </c>
      <c r="P67" s="370">
        <v>352</v>
      </c>
      <c r="Q67" s="325">
        <v>35</v>
      </c>
      <c r="R67" s="370">
        <v>353</v>
      </c>
      <c r="S67" s="325">
        <v>34</v>
      </c>
      <c r="T67" s="370">
        <v>354</v>
      </c>
      <c r="U67" s="325">
        <v>34</v>
      </c>
      <c r="V67" s="370">
        <v>355</v>
      </c>
      <c r="W67" s="325">
        <v>33</v>
      </c>
      <c r="X67" s="370">
        <v>356</v>
      </c>
      <c r="Y67" s="325">
        <v>32</v>
      </c>
      <c r="Z67" s="370">
        <v>357</v>
      </c>
      <c r="AA67" s="325">
        <v>31</v>
      </c>
      <c r="AB67" s="370">
        <v>358</v>
      </c>
      <c r="AC67" s="325">
        <v>30</v>
      </c>
      <c r="AD67" s="370">
        <v>359</v>
      </c>
      <c r="AE67" s="325">
        <v>29</v>
      </c>
      <c r="AF67" s="370">
        <v>0</v>
      </c>
      <c r="AG67" s="325">
        <v>28</v>
      </c>
      <c r="AH67" s="370">
        <v>1</v>
      </c>
      <c r="AI67" s="371">
        <v>28</v>
      </c>
      <c r="AJ67" s="310"/>
      <c r="AK67" s="310"/>
    </row>
    <row r="68" spans="1:37" ht="16.5" thickBot="1">
      <c r="A68" s="310"/>
      <c r="B68" s="310"/>
      <c r="C68" s="389">
        <v>23</v>
      </c>
      <c r="D68" s="373">
        <v>1</v>
      </c>
      <c r="E68" s="374">
        <v>43</v>
      </c>
      <c r="F68" s="373">
        <v>2</v>
      </c>
      <c r="G68" s="374">
        <v>42</v>
      </c>
      <c r="H68" s="373">
        <v>3</v>
      </c>
      <c r="I68" s="374">
        <v>41</v>
      </c>
      <c r="J68" s="373">
        <v>4</v>
      </c>
      <c r="K68" s="374">
        <v>40</v>
      </c>
      <c r="L68" s="373">
        <v>5</v>
      </c>
      <c r="M68" s="374">
        <v>39</v>
      </c>
      <c r="N68" s="373">
        <v>6</v>
      </c>
      <c r="O68" s="374">
        <v>39</v>
      </c>
      <c r="P68" s="373">
        <v>7</v>
      </c>
      <c r="Q68" s="374">
        <v>38</v>
      </c>
      <c r="R68" s="373">
        <v>8</v>
      </c>
      <c r="S68" s="374">
        <v>37</v>
      </c>
      <c r="T68" s="373">
        <v>9</v>
      </c>
      <c r="U68" s="374">
        <v>36</v>
      </c>
      <c r="V68" s="373">
        <v>10</v>
      </c>
      <c r="W68" s="374">
        <v>35</v>
      </c>
      <c r="X68" s="373">
        <v>11</v>
      </c>
      <c r="Y68" s="374">
        <v>34</v>
      </c>
      <c r="Z68" s="373">
        <v>12</v>
      </c>
      <c r="AA68" s="374">
        <v>33</v>
      </c>
      <c r="AB68" s="373">
        <v>13</v>
      </c>
      <c r="AC68" s="374">
        <v>33</v>
      </c>
      <c r="AD68" s="373">
        <v>14</v>
      </c>
      <c r="AE68" s="374">
        <v>32</v>
      </c>
      <c r="AF68" s="373">
        <v>15</v>
      </c>
      <c r="AG68" s="374">
        <v>31</v>
      </c>
      <c r="AH68" s="373">
        <v>16</v>
      </c>
      <c r="AI68" s="375">
        <v>30</v>
      </c>
      <c r="AJ68" s="310"/>
      <c r="AK68" s="310"/>
    </row>
    <row r="69" spans="1:37" ht="15.75">
      <c r="A69" s="310"/>
      <c r="B69" s="310"/>
      <c r="C69" s="353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</row>
    <row r="70" spans="1:37" s="361" customFormat="1" ht="24.75" customHeight="1" thickBot="1">
      <c r="A70" s="358"/>
      <c r="B70" s="867" t="s">
        <v>208</v>
      </c>
      <c r="C70" s="867"/>
      <c r="D70" s="867"/>
      <c r="E70" s="867"/>
      <c r="F70" s="867"/>
      <c r="G70" s="867"/>
      <c r="H70" s="867"/>
      <c r="I70" s="867"/>
      <c r="J70" s="867"/>
      <c r="K70" s="867"/>
      <c r="L70" s="867"/>
      <c r="M70" s="867"/>
      <c r="N70" s="867"/>
      <c r="O70" s="867"/>
      <c r="P70" s="867"/>
      <c r="Q70" s="867"/>
      <c r="R70" s="867"/>
      <c r="S70" s="867"/>
      <c r="T70" s="867"/>
      <c r="U70" s="867"/>
      <c r="V70" s="867"/>
      <c r="W70" s="867"/>
      <c r="X70" s="867"/>
      <c r="Y70" s="867"/>
      <c r="Z70" s="867"/>
      <c r="AA70" s="867"/>
      <c r="AB70" s="867"/>
      <c r="AC70" s="867"/>
      <c r="AD70" s="867"/>
      <c r="AE70" s="867"/>
      <c r="AF70" s="867"/>
      <c r="AG70" s="867"/>
      <c r="AH70" s="867"/>
      <c r="AI70" s="867"/>
      <c r="AJ70" s="867"/>
      <c r="AK70" s="358"/>
    </row>
    <row r="71" spans="1:37" ht="18.75" customHeight="1">
      <c r="A71" s="310"/>
      <c r="B71" s="390"/>
      <c r="C71" s="391">
        <v>0</v>
      </c>
      <c r="D71" s="392" t="s">
        <v>207</v>
      </c>
      <c r="E71" s="391">
        <v>4</v>
      </c>
      <c r="F71" s="392" t="s">
        <v>207</v>
      </c>
      <c r="G71" s="391">
        <v>8</v>
      </c>
      <c r="H71" s="392" t="s">
        <v>207</v>
      </c>
      <c r="I71" s="391">
        <v>12</v>
      </c>
      <c r="J71" s="392" t="s">
        <v>207</v>
      </c>
      <c r="K71" s="391">
        <v>16</v>
      </c>
      <c r="L71" s="392" t="s">
        <v>207</v>
      </c>
      <c r="M71" s="391">
        <v>20</v>
      </c>
      <c r="N71" s="392" t="s">
        <v>207</v>
      </c>
      <c r="O71" s="391">
        <v>24</v>
      </c>
      <c r="P71" s="392" t="s">
        <v>207</v>
      </c>
      <c r="Q71" s="391">
        <v>28</v>
      </c>
      <c r="R71" s="392" t="s">
        <v>207</v>
      </c>
      <c r="S71" s="393"/>
      <c r="T71" s="391">
        <v>32</v>
      </c>
      <c r="U71" s="392" t="s">
        <v>207</v>
      </c>
      <c r="V71" s="391">
        <v>36</v>
      </c>
      <c r="W71" s="392" t="s">
        <v>207</v>
      </c>
      <c r="X71" s="391">
        <v>40</v>
      </c>
      <c r="Y71" s="392" t="s">
        <v>207</v>
      </c>
      <c r="Z71" s="391">
        <v>44</v>
      </c>
      <c r="AA71" s="392" t="s">
        <v>207</v>
      </c>
      <c r="AB71" s="391">
        <v>48</v>
      </c>
      <c r="AC71" s="392" t="s">
        <v>207</v>
      </c>
      <c r="AD71" s="391">
        <v>52</v>
      </c>
      <c r="AE71" s="392" t="s">
        <v>207</v>
      </c>
      <c r="AF71" s="391">
        <v>56</v>
      </c>
      <c r="AG71" s="392" t="s">
        <v>207</v>
      </c>
      <c r="AH71" s="391">
        <v>60</v>
      </c>
      <c r="AI71" s="392" t="s">
        <v>207</v>
      </c>
      <c r="AJ71" s="394"/>
      <c r="AK71" s="310"/>
    </row>
    <row r="72" spans="1:37" ht="18.75">
      <c r="A72" s="310"/>
      <c r="B72" s="395" t="s">
        <v>206</v>
      </c>
      <c r="C72" s="365" t="s">
        <v>200</v>
      </c>
      <c r="D72" s="366" t="s">
        <v>201</v>
      </c>
      <c r="E72" s="365" t="s">
        <v>200</v>
      </c>
      <c r="F72" s="366" t="s">
        <v>201</v>
      </c>
      <c r="G72" s="365" t="s">
        <v>200</v>
      </c>
      <c r="H72" s="366" t="s">
        <v>201</v>
      </c>
      <c r="I72" s="365" t="s">
        <v>200</v>
      </c>
      <c r="J72" s="366" t="s">
        <v>201</v>
      </c>
      <c r="K72" s="365" t="s">
        <v>200</v>
      </c>
      <c r="L72" s="366" t="s">
        <v>201</v>
      </c>
      <c r="M72" s="365" t="s">
        <v>200</v>
      </c>
      <c r="N72" s="366" t="s">
        <v>201</v>
      </c>
      <c r="O72" s="365" t="s">
        <v>200</v>
      </c>
      <c r="P72" s="366" t="s">
        <v>201</v>
      </c>
      <c r="Q72" s="365" t="s">
        <v>200</v>
      </c>
      <c r="R72" s="396" t="s">
        <v>201</v>
      </c>
      <c r="S72" s="397" t="s">
        <v>206</v>
      </c>
      <c r="T72" s="365" t="s">
        <v>200</v>
      </c>
      <c r="U72" s="366" t="s">
        <v>201</v>
      </c>
      <c r="V72" s="365" t="s">
        <v>200</v>
      </c>
      <c r="W72" s="366" t="s">
        <v>201</v>
      </c>
      <c r="X72" s="365" t="s">
        <v>200</v>
      </c>
      <c r="Y72" s="366" t="s">
        <v>201</v>
      </c>
      <c r="Z72" s="365" t="s">
        <v>200</v>
      </c>
      <c r="AA72" s="366" t="s">
        <v>201</v>
      </c>
      <c r="AB72" s="365" t="s">
        <v>200</v>
      </c>
      <c r="AC72" s="366" t="s">
        <v>201</v>
      </c>
      <c r="AD72" s="365" t="s">
        <v>200</v>
      </c>
      <c r="AE72" s="366" t="s">
        <v>201</v>
      </c>
      <c r="AF72" s="365" t="s">
        <v>200</v>
      </c>
      <c r="AG72" s="366" t="s">
        <v>201</v>
      </c>
      <c r="AH72" s="365" t="s">
        <v>200</v>
      </c>
      <c r="AI72" s="366" t="s">
        <v>201</v>
      </c>
      <c r="AJ72" s="398" t="s">
        <v>206</v>
      </c>
      <c r="AK72" s="310"/>
    </row>
    <row r="73" spans="1:37" ht="15.75">
      <c r="A73" s="310"/>
      <c r="B73" s="384">
        <v>0</v>
      </c>
      <c r="C73" s="370">
        <v>0</v>
      </c>
      <c r="D73" s="325">
        <v>0</v>
      </c>
      <c r="E73" s="370">
        <v>0</v>
      </c>
      <c r="F73" s="325">
        <v>1</v>
      </c>
      <c r="G73" s="370">
        <v>0</v>
      </c>
      <c r="H73" s="325">
        <v>2</v>
      </c>
      <c r="I73" s="370">
        <v>0</v>
      </c>
      <c r="J73" s="325">
        <v>3</v>
      </c>
      <c r="K73" s="370">
        <v>0</v>
      </c>
      <c r="L73" s="325">
        <v>4</v>
      </c>
      <c r="M73" s="370">
        <v>0</v>
      </c>
      <c r="N73" s="325">
        <v>5</v>
      </c>
      <c r="O73" s="370">
        <v>0</v>
      </c>
      <c r="P73" s="325">
        <v>6</v>
      </c>
      <c r="Q73" s="370">
        <v>0</v>
      </c>
      <c r="R73" s="399">
        <v>7</v>
      </c>
      <c r="S73" s="400">
        <v>0</v>
      </c>
      <c r="T73" s="370">
        <v>0</v>
      </c>
      <c r="U73" s="325">
        <v>8</v>
      </c>
      <c r="V73" s="370">
        <v>0</v>
      </c>
      <c r="W73" s="325">
        <v>9</v>
      </c>
      <c r="X73" s="370">
        <v>0</v>
      </c>
      <c r="Y73" s="325">
        <v>10</v>
      </c>
      <c r="Z73" s="370">
        <v>0</v>
      </c>
      <c r="AA73" s="325">
        <v>11</v>
      </c>
      <c r="AB73" s="370">
        <v>0</v>
      </c>
      <c r="AC73" s="325">
        <v>12</v>
      </c>
      <c r="AD73" s="370">
        <v>0</v>
      </c>
      <c r="AE73" s="325">
        <v>13</v>
      </c>
      <c r="AF73" s="370">
        <v>0</v>
      </c>
      <c r="AG73" s="325">
        <v>14</v>
      </c>
      <c r="AH73" s="370">
        <v>0</v>
      </c>
      <c r="AI73" s="325">
        <v>15</v>
      </c>
      <c r="AJ73" s="401">
        <v>0</v>
      </c>
      <c r="AK73" s="310"/>
    </row>
    <row r="74" spans="1:37" ht="15.75">
      <c r="A74" s="310"/>
      <c r="B74" s="384">
        <v>1</v>
      </c>
      <c r="C74" s="370">
        <v>0</v>
      </c>
      <c r="D74" s="325">
        <v>15</v>
      </c>
      <c r="E74" s="370">
        <v>0</v>
      </c>
      <c r="F74" s="325">
        <v>16</v>
      </c>
      <c r="G74" s="370">
        <v>0</v>
      </c>
      <c r="H74" s="325">
        <v>17</v>
      </c>
      <c r="I74" s="370">
        <v>0</v>
      </c>
      <c r="J74" s="325">
        <v>18</v>
      </c>
      <c r="K74" s="370">
        <v>0</v>
      </c>
      <c r="L74" s="325">
        <v>19</v>
      </c>
      <c r="M74" s="370">
        <v>0</v>
      </c>
      <c r="N74" s="325">
        <v>20</v>
      </c>
      <c r="O74" s="370">
        <v>0</v>
      </c>
      <c r="P74" s="325">
        <v>21</v>
      </c>
      <c r="Q74" s="370">
        <v>0</v>
      </c>
      <c r="R74" s="399">
        <v>22</v>
      </c>
      <c r="S74" s="400">
        <v>1</v>
      </c>
      <c r="T74" s="370">
        <v>0</v>
      </c>
      <c r="U74" s="325">
        <v>23</v>
      </c>
      <c r="V74" s="370">
        <v>0</v>
      </c>
      <c r="W74" s="325">
        <v>24</v>
      </c>
      <c r="X74" s="370">
        <v>0</v>
      </c>
      <c r="Y74" s="325">
        <v>25</v>
      </c>
      <c r="Z74" s="370">
        <v>0</v>
      </c>
      <c r="AA74" s="325">
        <v>26</v>
      </c>
      <c r="AB74" s="370">
        <v>0</v>
      </c>
      <c r="AC74" s="325">
        <v>27</v>
      </c>
      <c r="AD74" s="370">
        <v>0</v>
      </c>
      <c r="AE74" s="325">
        <v>28</v>
      </c>
      <c r="AF74" s="370">
        <v>0</v>
      </c>
      <c r="AG74" s="325">
        <v>29</v>
      </c>
      <c r="AH74" s="370">
        <v>0</v>
      </c>
      <c r="AI74" s="325">
        <v>30</v>
      </c>
      <c r="AJ74" s="401">
        <v>1</v>
      </c>
      <c r="AK74" s="310"/>
    </row>
    <row r="75" spans="1:37" ht="15.75">
      <c r="A75" s="310"/>
      <c r="B75" s="384">
        <v>2</v>
      </c>
      <c r="C75" s="370">
        <v>0</v>
      </c>
      <c r="D75" s="325">
        <v>30</v>
      </c>
      <c r="E75" s="370">
        <v>0</v>
      </c>
      <c r="F75" s="325">
        <v>31</v>
      </c>
      <c r="G75" s="370">
        <v>0</v>
      </c>
      <c r="H75" s="325">
        <v>32</v>
      </c>
      <c r="I75" s="370">
        <v>0</v>
      </c>
      <c r="J75" s="325">
        <v>33</v>
      </c>
      <c r="K75" s="370">
        <v>0</v>
      </c>
      <c r="L75" s="325">
        <v>34</v>
      </c>
      <c r="M75" s="370">
        <v>0</v>
      </c>
      <c r="N75" s="325">
        <v>35</v>
      </c>
      <c r="O75" s="370">
        <v>0</v>
      </c>
      <c r="P75" s="325">
        <v>36</v>
      </c>
      <c r="Q75" s="370">
        <v>0</v>
      </c>
      <c r="R75" s="399">
        <v>37</v>
      </c>
      <c r="S75" s="400">
        <v>2</v>
      </c>
      <c r="T75" s="370">
        <v>0</v>
      </c>
      <c r="U75" s="325">
        <v>38</v>
      </c>
      <c r="V75" s="370">
        <v>0</v>
      </c>
      <c r="W75" s="325">
        <v>39</v>
      </c>
      <c r="X75" s="370">
        <v>0</v>
      </c>
      <c r="Y75" s="325">
        <v>40</v>
      </c>
      <c r="Z75" s="370">
        <v>0</v>
      </c>
      <c r="AA75" s="325">
        <v>41</v>
      </c>
      <c r="AB75" s="370">
        <v>0</v>
      </c>
      <c r="AC75" s="325">
        <v>42</v>
      </c>
      <c r="AD75" s="370">
        <v>0</v>
      </c>
      <c r="AE75" s="325">
        <v>43</v>
      </c>
      <c r="AF75" s="370">
        <v>0</v>
      </c>
      <c r="AG75" s="325">
        <v>44</v>
      </c>
      <c r="AH75" s="370">
        <v>0</v>
      </c>
      <c r="AI75" s="325">
        <v>45</v>
      </c>
      <c r="AJ75" s="401">
        <v>2</v>
      </c>
      <c r="AK75" s="310"/>
    </row>
    <row r="76" spans="1:37" ht="15.75">
      <c r="A76" s="310"/>
      <c r="B76" s="384">
        <v>3</v>
      </c>
      <c r="C76" s="370">
        <v>0</v>
      </c>
      <c r="D76" s="325">
        <v>45</v>
      </c>
      <c r="E76" s="370">
        <v>0</v>
      </c>
      <c r="F76" s="325">
        <v>46</v>
      </c>
      <c r="G76" s="370">
        <v>0</v>
      </c>
      <c r="H76" s="325">
        <v>47</v>
      </c>
      <c r="I76" s="370">
        <v>0</v>
      </c>
      <c r="J76" s="325">
        <v>48</v>
      </c>
      <c r="K76" s="370">
        <v>0</v>
      </c>
      <c r="L76" s="325">
        <v>49</v>
      </c>
      <c r="M76" s="370">
        <v>0</v>
      </c>
      <c r="N76" s="325">
        <v>50</v>
      </c>
      <c r="O76" s="370">
        <v>0</v>
      </c>
      <c r="P76" s="325">
        <v>51</v>
      </c>
      <c r="Q76" s="370">
        <v>0</v>
      </c>
      <c r="R76" s="399">
        <v>52</v>
      </c>
      <c r="S76" s="400">
        <v>3</v>
      </c>
      <c r="T76" s="370">
        <v>0</v>
      </c>
      <c r="U76" s="325">
        <v>53</v>
      </c>
      <c r="V76" s="370">
        <v>0</v>
      </c>
      <c r="W76" s="325">
        <v>54</v>
      </c>
      <c r="X76" s="370">
        <v>0</v>
      </c>
      <c r="Y76" s="325">
        <v>55</v>
      </c>
      <c r="Z76" s="370">
        <v>0</v>
      </c>
      <c r="AA76" s="325">
        <v>56</v>
      </c>
      <c r="AB76" s="370">
        <v>0</v>
      </c>
      <c r="AC76" s="325">
        <v>57</v>
      </c>
      <c r="AD76" s="370">
        <v>0</v>
      </c>
      <c r="AE76" s="325">
        <v>58</v>
      </c>
      <c r="AF76" s="370">
        <v>0</v>
      </c>
      <c r="AG76" s="325">
        <v>59</v>
      </c>
      <c r="AH76" s="370">
        <v>1</v>
      </c>
      <c r="AI76" s="325">
        <v>0</v>
      </c>
      <c r="AJ76" s="401">
        <v>3</v>
      </c>
      <c r="AK76" s="310"/>
    </row>
    <row r="77" spans="1:37" ht="15.75">
      <c r="A77" s="310"/>
      <c r="B77" s="384">
        <v>4</v>
      </c>
      <c r="C77" s="370">
        <v>1</v>
      </c>
      <c r="D77" s="325">
        <v>0</v>
      </c>
      <c r="E77" s="370">
        <v>1</v>
      </c>
      <c r="F77" s="325">
        <v>1</v>
      </c>
      <c r="G77" s="370">
        <v>1</v>
      </c>
      <c r="H77" s="325">
        <v>2</v>
      </c>
      <c r="I77" s="370">
        <v>1</v>
      </c>
      <c r="J77" s="325">
        <v>3</v>
      </c>
      <c r="K77" s="370">
        <v>1</v>
      </c>
      <c r="L77" s="325">
        <v>4</v>
      </c>
      <c r="M77" s="370">
        <v>1</v>
      </c>
      <c r="N77" s="325">
        <v>5</v>
      </c>
      <c r="O77" s="370">
        <v>1</v>
      </c>
      <c r="P77" s="325">
        <v>6</v>
      </c>
      <c r="Q77" s="370">
        <v>1</v>
      </c>
      <c r="R77" s="399">
        <v>7</v>
      </c>
      <c r="S77" s="400">
        <v>4</v>
      </c>
      <c r="T77" s="370">
        <v>1</v>
      </c>
      <c r="U77" s="325">
        <v>8</v>
      </c>
      <c r="V77" s="370">
        <v>1</v>
      </c>
      <c r="W77" s="325">
        <v>9</v>
      </c>
      <c r="X77" s="370">
        <v>1</v>
      </c>
      <c r="Y77" s="325">
        <v>10</v>
      </c>
      <c r="Z77" s="370">
        <v>1</v>
      </c>
      <c r="AA77" s="325">
        <v>11</v>
      </c>
      <c r="AB77" s="370">
        <v>1</v>
      </c>
      <c r="AC77" s="325">
        <v>12</v>
      </c>
      <c r="AD77" s="370">
        <v>1</v>
      </c>
      <c r="AE77" s="325">
        <v>13</v>
      </c>
      <c r="AF77" s="370">
        <v>1</v>
      </c>
      <c r="AG77" s="325">
        <v>14</v>
      </c>
      <c r="AH77" s="370">
        <v>1</v>
      </c>
      <c r="AI77" s="325">
        <v>15</v>
      </c>
      <c r="AJ77" s="401">
        <v>4</v>
      </c>
      <c r="AK77" s="310"/>
    </row>
    <row r="78" spans="1:37" ht="24" customHeight="1">
      <c r="A78" s="310"/>
      <c r="B78" s="384">
        <v>5</v>
      </c>
      <c r="C78" s="370">
        <v>1</v>
      </c>
      <c r="D78" s="325">
        <v>15</v>
      </c>
      <c r="E78" s="370">
        <v>1</v>
      </c>
      <c r="F78" s="325">
        <v>16</v>
      </c>
      <c r="G78" s="370">
        <v>1</v>
      </c>
      <c r="H78" s="325">
        <v>17</v>
      </c>
      <c r="I78" s="370">
        <v>1</v>
      </c>
      <c r="J78" s="325">
        <v>18</v>
      </c>
      <c r="K78" s="370">
        <v>1</v>
      </c>
      <c r="L78" s="325">
        <v>19</v>
      </c>
      <c r="M78" s="370">
        <v>1</v>
      </c>
      <c r="N78" s="325">
        <v>20</v>
      </c>
      <c r="O78" s="370">
        <v>1</v>
      </c>
      <c r="P78" s="325">
        <v>21</v>
      </c>
      <c r="Q78" s="370">
        <v>1</v>
      </c>
      <c r="R78" s="399">
        <v>22</v>
      </c>
      <c r="S78" s="400">
        <v>5</v>
      </c>
      <c r="T78" s="370">
        <v>1</v>
      </c>
      <c r="U78" s="325">
        <v>23</v>
      </c>
      <c r="V78" s="370">
        <v>1</v>
      </c>
      <c r="W78" s="325">
        <v>24</v>
      </c>
      <c r="X78" s="370">
        <v>1</v>
      </c>
      <c r="Y78" s="325">
        <v>25</v>
      </c>
      <c r="Z78" s="370">
        <v>1</v>
      </c>
      <c r="AA78" s="325">
        <v>26</v>
      </c>
      <c r="AB78" s="370">
        <v>1</v>
      </c>
      <c r="AC78" s="325">
        <v>27</v>
      </c>
      <c r="AD78" s="370">
        <v>1</v>
      </c>
      <c r="AE78" s="325">
        <v>28</v>
      </c>
      <c r="AF78" s="370">
        <v>1</v>
      </c>
      <c r="AG78" s="325">
        <v>29</v>
      </c>
      <c r="AH78" s="370">
        <v>1</v>
      </c>
      <c r="AI78" s="325">
        <v>30</v>
      </c>
      <c r="AJ78" s="401">
        <v>5</v>
      </c>
      <c r="AK78" s="310"/>
    </row>
    <row r="79" spans="1:37" ht="15.75">
      <c r="A79" s="310"/>
      <c r="B79" s="384">
        <v>6</v>
      </c>
      <c r="C79" s="370">
        <v>1</v>
      </c>
      <c r="D79" s="325">
        <v>30</v>
      </c>
      <c r="E79" s="370">
        <v>1</v>
      </c>
      <c r="F79" s="325">
        <v>31</v>
      </c>
      <c r="G79" s="370">
        <v>1</v>
      </c>
      <c r="H79" s="325">
        <v>32</v>
      </c>
      <c r="I79" s="370">
        <v>1</v>
      </c>
      <c r="J79" s="325">
        <v>33</v>
      </c>
      <c r="K79" s="370">
        <v>1</v>
      </c>
      <c r="L79" s="325">
        <v>34</v>
      </c>
      <c r="M79" s="370">
        <v>1</v>
      </c>
      <c r="N79" s="325">
        <v>35</v>
      </c>
      <c r="O79" s="370">
        <v>1</v>
      </c>
      <c r="P79" s="325">
        <v>36</v>
      </c>
      <c r="Q79" s="370">
        <v>1</v>
      </c>
      <c r="R79" s="399">
        <v>37</v>
      </c>
      <c r="S79" s="400">
        <v>6</v>
      </c>
      <c r="T79" s="370">
        <v>1</v>
      </c>
      <c r="U79" s="325">
        <v>38</v>
      </c>
      <c r="V79" s="370">
        <v>1</v>
      </c>
      <c r="W79" s="325">
        <v>39</v>
      </c>
      <c r="X79" s="370">
        <v>1</v>
      </c>
      <c r="Y79" s="325">
        <v>40</v>
      </c>
      <c r="Z79" s="370">
        <v>1</v>
      </c>
      <c r="AA79" s="325">
        <v>41</v>
      </c>
      <c r="AB79" s="370">
        <v>1</v>
      </c>
      <c r="AC79" s="325">
        <v>42</v>
      </c>
      <c r="AD79" s="370">
        <v>1</v>
      </c>
      <c r="AE79" s="325">
        <v>43</v>
      </c>
      <c r="AF79" s="370">
        <v>1</v>
      </c>
      <c r="AG79" s="325">
        <v>44</v>
      </c>
      <c r="AH79" s="370">
        <v>1</v>
      </c>
      <c r="AI79" s="325">
        <v>45</v>
      </c>
      <c r="AJ79" s="401">
        <v>6</v>
      </c>
      <c r="AK79" s="310"/>
    </row>
    <row r="80" spans="1:37" ht="15.75">
      <c r="A80" s="310"/>
      <c r="B80" s="384">
        <v>7</v>
      </c>
      <c r="C80" s="370">
        <v>1</v>
      </c>
      <c r="D80" s="325">
        <v>45</v>
      </c>
      <c r="E80" s="370">
        <v>1</v>
      </c>
      <c r="F80" s="325">
        <v>46</v>
      </c>
      <c r="G80" s="370">
        <v>1</v>
      </c>
      <c r="H80" s="325">
        <v>47</v>
      </c>
      <c r="I80" s="370">
        <v>1</v>
      </c>
      <c r="J80" s="325">
        <v>48</v>
      </c>
      <c r="K80" s="370">
        <v>1</v>
      </c>
      <c r="L80" s="325">
        <v>49</v>
      </c>
      <c r="M80" s="370">
        <v>1</v>
      </c>
      <c r="N80" s="325">
        <v>50</v>
      </c>
      <c r="O80" s="370">
        <v>1</v>
      </c>
      <c r="P80" s="325">
        <v>51</v>
      </c>
      <c r="Q80" s="370">
        <v>1</v>
      </c>
      <c r="R80" s="399">
        <v>52</v>
      </c>
      <c r="S80" s="400">
        <v>7</v>
      </c>
      <c r="T80" s="370">
        <v>1</v>
      </c>
      <c r="U80" s="325">
        <v>53</v>
      </c>
      <c r="V80" s="370">
        <v>1</v>
      </c>
      <c r="W80" s="325">
        <v>54</v>
      </c>
      <c r="X80" s="370">
        <v>1</v>
      </c>
      <c r="Y80" s="325">
        <v>55</v>
      </c>
      <c r="Z80" s="370">
        <v>1</v>
      </c>
      <c r="AA80" s="325">
        <v>56</v>
      </c>
      <c r="AB80" s="370">
        <v>1</v>
      </c>
      <c r="AC80" s="325">
        <v>57</v>
      </c>
      <c r="AD80" s="370">
        <v>1</v>
      </c>
      <c r="AE80" s="325">
        <v>58</v>
      </c>
      <c r="AF80" s="370">
        <v>1</v>
      </c>
      <c r="AG80" s="325">
        <v>59</v>
      </c>
      <c r="AH80" s="370">
        <v>2</v>
      </c>
      <c r="AI80" s="325">
        <v>0</v>
      </c>
      <c r="AJ80" s="401">
        <v>7</v>
      </c>
      <c r="AK80" s="310"/>
    </row>
    <row r="81" spans="1:37" ht="15.75">
      <c r="A81" s="310"/>
      <c r="B81" s="384">
        <v>8</v>
      </c>
      <c r="C81" s="370">
        <v>2</v>
      </c>
      <c r="D81" s="325">
        <v>0</v>
      </c>
      <c r="E81" s="370">
        <v>2</v>
      </c>
      <c r="F81" s="325">
        <v>1</v>
      </c>
      <c r="G81" s="370">
        <v>2</v>
      </c>
      <c r="H81" s="325">
        <v>2</v>
      </c>
      <c r="I81" s="370">
        <v>2</v>
      </c>
      <c r="J81" s="325">
        <v>3</v>
      </c>
      <c r="K81" s="370">
        <v>2</v>
      </c>
      <c r="L81" s="325">
        <v>4</v>
      </c>
      <c r="M81" s="370">
        <v>2</v>
      </c>
      <c r="N81" s="325">
        <v>5</v>
      </c>
      <c r="O81" s="370">
        <v>2</v>
      </c>
      <c r="P81" s="325">
        <v>6</v>
      </c>
      <c r="Q81" s="370">
        <v>2</v>
      </c>
      <c r="R81" s="399">
        <v>7</v>
      </c>
      <c r="S81" s="400">
        <v>8</v>
      </c>
      <c r="T81" s="370">
        <v>2</v>
      </c>
      <c r="U81" s="325">
        <v>8</v>
      </c>
      <c r="V81" s="370">
        <v>2</v>
      </c>
      <c r="W81" s="325">
        <v>9</v>
      </c>
      <c r="X81" s="370">
        <v>2</v>
      </c>
      <c r="Y81" s="325">
        <v>10</v>
      </c>
      <c r="Z81" s="370">
        <v>2</v>
      </c>
      <c r="AA81" s="325">
        <v>11</v>
      </c>
      <c r="AB81" s="370">
        <v>2</v>
      </c>
      <c r="AC81" s="325">
        <v>12</v>
      </c>
      <c r="AD81" s="370">
        <v>2</v>
      </c>
      <c r="AE81" s="325">
        <v>13</v>
      </c>
      <c r="AF81" s="370">
        <v>2</v>
      </c>
      <c r="AG81" s="325">
        <v>14</v>
      </c>
      <c r="AH81" s="370">
        <v>2</v>
      </c>
      <c r="AI81" s="325">
        <v>15</v>
      </c>
      <c r="AJ81" s="401">
        <v>8</v>
      </c>
      <c r="AK81" s="310"/>
    </row>
    <row r="82" spans="1:37" ht="15.75">
      <c r="A82" s="310"/>
      <c r="B82" s="384">
        <v>9</v>
      </c>
      <c r="C82" s="370">
        <v>2</v>
      </c>
      <c r="D82" s="325">
        <v>15</v>
      </c>
      <c r="E82" s="370">
        <v>2</v>
      </c>
      <c r="F82" s="325">
        <v>16</v>
      </c>
      <c r="G82" s="370">
        <v>2</v>
      </c>
      <c r="H82" s="325">
        <v>17</v>
      </c>
      <c r="I82" s="370">
        <v>2</v>
      </c>
      <c r="J82" s="325">
        <v>18</v>
      </c>
      <c r="K82" s="370">
        <v>2</v>
      </c>
      <c r="L82" s="325">
        <v>19</v>
      </c>
      <c r="M82" s="370">
        <v>2</v>
      </c>
      <c r="N82" s="325">
        <v>20</v>
      </c>
      <c r="O82" s="370">
        <v>2</v>
      </c>
      <c r="P82" s="325">
        <v>21</v>
      </c>
      <c r="Q82" s="370">
        <v>2</v>
      </c>
      <c r="R82" s="399">
        <v>22</v>
      </c>
      <c r="S82" s="400">
        <v>9</v>
      </c>
      <c r="T82" s="370">
        <v>2</v>
      </c>
      <c r="U82" s="325">
        <v>23</v>
      </c>
      <c r="V82" s="370">
        <v>2</v>
      </c>
      <c r="W82" s="325">
        <v>24</v>
      </c>
      <c r="X82" s="370">
        <v>2</v>
      </c>
      <c r="Y82" s="325">
        <v>25</v>
      </c>
      <c r="Z82" s="370">
        <v>2</v>
      </c>
      <c r="AA82" s="325">
        <v>26</v>
      </c>
      <c r="AB82" s="370">
        <v>2</v>
      </c>
      <c r="AC82" s="325">
        <v>27</v>
      </c>
      <c r="AD82" s="370">
        <v>2</v>
      </c>
      <c r="AE82" s="325">
        <v>28</v>
      </c>
      <c r="AF82" s="370">
        <v>2</v>
      </c>
      <c r="AG82" s="325">
        <v>29</v>
      </c>
      <c r="AH82" s="370">
        <v>2</v>
      </c>
      <c r="AI82" s="325">
        <v>30</v>
      </c>
      <c r="AJ82" s="401">
        <v>9</v>
      </c>
      <c r="AK82" s="310"/>
    </row>
    <row r="83" spans="1:37" ht="24" customHeight="1">
      <c r="A83" s="310"/>
      <c r="B83" s="384">
        <v>10</v>
      </c>
      <c r="C83" s="370">
        <v>2</v>
      </c>
      <c r="D83" s="325">
        <v>30</v>
      </c>
      <c r="E83" s="370">
        <v>2</v>
      </c>
      <c r="F83" s="325">
        <v>31</v>
      </c>
      <c r="G83" s="370">
        <v>2</v>
      </c>
      <c r="H83" s="325">
        <v>32</v>
      </c>
      <c r="I83" s="370">
        <v>2</v>
      </c>
      <c r="J83" s="325">
        <v>33</v>
      </c>
      <c r="K83" s="370">
        <v>2</v>
      </c>
      <c r="L83" s="325">
        <v>34</v>
      </c>
      <c r="M83" s="370">
        <v>2</v>
      </c>
      <c r="N83" s="325">
        <v>35</v>
      </c>
      <c r="O83" s="370">
        <v>2</v>
      </c>
      <c r="P83" s="325">
        <v>36</v>
      </c>
      <c r="Q83" s="370">
        <v>2</v>
      </c>
      <c r="R83" s="399">
        <v>37</v>
      </c>
      <c r="S83" s="400">
        <v>10</v>
      </c>
      <c r="T83" s="370">
        <v>2</v>
      </c>
      <c r="U83" s="325">
        <v>38</v>
      </c>
      <c r="V83" s="370">
        <v>2</v>
      </c>
      <c r="W83" s="325">
        <v>39</v>
      </c>
      <c r="X83" s="370">
        <v>2</v>
      </c>
      <c r="Y83" s="325">
        <v>40</v>
      </c>
      <c r="Z83" s="370">
        <v>2</v>
      </c>
      <c r="AA83" s="325">
        <v>41</v>
      </c>
      <c r="AB83" s="370">
        <v>2</v>
      </c>
      <c r="AC83" s="325">
        <v>42</v>
      </c>
      <c r="AD83" s="370">
        <v>2</v>
      </c>
      <c r="AE83" s="325">
        <v>43</v>
      </c>
      <c r="AF83" s="370">
        <v>2</v>
      </c>
      <c r="AG83" s="325">
        <v>44</v>
      </c>
      <c r="AH83" s="370">
        <v>2</v>
      </c>
      <c r="AI83" s="325">
        <v>45</v>
      </c>
      <c r="AJ83" s="401">
        <v>10</v>
      </c>
      <c r="AK83" s="310"/>
    </row>
    <row r="84" spans="1:37" ht="15.75">
      <c r="A84" s="310"/>
      <c r="B84" s="384">
        <v>11</v>
      </c>
      <c r="C84" s="370">
        <v>2</v>
      </c>
      <c r="D84" s="325">
        <v>45</v>
      </c>
      <c r="E84" s="370">
        <v>2</v>
      </c>
      <c r="F84" s="325">
        <v>46</v>
      </c>
      <c r="G84" s="370">
        <v>2</v>
      </c>
      <c r="H84" s="325">
        <v>47</v>
      </c>
      <c r="I84" s="370">
        <v>2</v>
      </c>
      <c r="J84" s="325">
        <v>48</v>
      </c>
      <c r="K84" s="370">
        <v>2</v>
      </c>
      <c r="L84" s="325">
        <v>49</v>
      </c>
      <c r="M84" s="370">
        <v>2</v>
      </c>
      <c r="N84" s="325">
        <v>50</v>
      </c>
      <c r="O84" s="370">
        <v>2</v>
      </c>
      <c r="P84" s="325">
        <v>51</v>
      </c>
      <c r="Q84" s="370">
        <v>2</v>
      </c>
      <c r="R84" s="399">
        <v>52</v>
      </c>
      <c r="S84" s="400">
        <v>11</v>
      </c>
      <c r="T84" s="370">
        <v>2</v>
      </c>
      <c r="U84" s="325">
        <v>53</v>
      </c>
      <c r="V84" s="370">
        <v>2</v>
      </c>
      <c r="W84" s="325">
        <v>54</v>
      </c>
      <c r="X84" s="370">
        <v>2</v>
      </c>
      <c r="Y84" s="325">
        <v>55</v>
      </c>
      <c r="Z84" s="370">
        <v>2</v>
      </c>
      <c r="AA84" s="325">
        <v>56</v>
      </c>
      <c r="AB84" s="370">
        <v>2</v>
      </c>
      <c r="AC84" s="325">
        <v>57</v>
      </c>
      <c r="AD84" s="370">
        <v>2</v>
      </c>
      <c r="AE84" s="325">
        <v>58</v>
      </c>
      <c r="AF84" s="370">
        <v>2</v>
      </c>
      <c r="AG84" s="325">
        <v>59</v>
      </c>
      <c r="AH84" s="370">
        <v>3</v>
      </c>
      <c r="AI84" s="325">
        <v>0</v>
      </c>
      <c r="AJ84" s="401">
        <v>11</v>
      </c>
      <c r="AK84" s="310"/>
    </row>
    <row r="85" spans="1:37" ht="15.75">
      <c r="A85" s="310"/>
      <c r="B85" s="384">
        <v>12</v>
      </c>
      <c r="C85" s="370">
        <v>3</v>
      </c>
      <c r="D85" s="325">
        <v>0</v>
      </c>
      <c r="E85" s="370">
        <v>3</v>
      </c>
      <c r="F85" s="325">
        <v>1</v>
      </c>
      <c r="G85" s="370">
        <v>3</v>
      </c>
      <c r="H85" s="325">
        <v>2</v>
      </c>
      <c r="I85" s="370">
        <v>3</v>
      </c>
      <c r="J85" s="325">
        <v>4</v>
      </c>
      <c r="K85" s="370">
        <v>3</v>
      </c>
      <c r="L85" s="325">
        <v>5</v>
      </c>
      <c r="M85" s="370">
        <v>3</v>
      </c>
      <c r="N85" s="325">
        <v>6</v>
      </c>
      <c r="O85" s="370">
        <v>3</v>
      </c>
      <c r="P85" s="325">
        <v>7</v>
      </c>
      <c r="Q85" s="370">
        <v>3</v>
      </c>
      <c r="R85" s="399">
        <v>8</v>
      </c>
      <c r="S85" s="400">
        <v>12</v>
      </c>
      <c r="T85" s="370">
        <v>3</v>
      </c>
      <c r="U85" s="325">
        <v>9</v>
      </c>
      <c r="V85" s="370">
        <v>3</v>
      </c>
      <c r="W85" s="325">
        <v>10</v>
      </c>
      <c r="X85" s="370">
        <v>3</v>
      </c>
      <c r="Y85" s="325">
        <v>11</v>
      </c>
      <c r="Z85" s="370">
        <v>3</v>
      </c>
      <c r="AA85" s="325">
        <v>12</v>
      </c>
      <c r="AB85" s="370">
        <v>3</v>
      </c>
      <c r="AC85" s="325">
        <v>13</v>
      </c>
      <c r="AD85" s="370">
        <v>3</v>
      </c>
      <c r="AE85" s="325">
        <v>14</v>
      </c>
      <c r="AF85" s="370">
        <v>3</v>
      </c>
      <c r="AG85" s="325">
        <v>15</v>
      </c>
      <c r="AH85" s="370">
        <v>3</v>
      </c>
      <c r="AI85" s="325">
        <v>16</v>
      </c>
      <c r="AJ85" s="401">
        <v>12</v>
      </c>
      <c r="AK85" s="310"/>
    </row>
    <row r="86" spans="1:37" ht="15.75">
      <c r="A86" s="310"/>
      <c r="B86" s="384">
        <v>13</v>
      </c>
      <c r="C86" s="370">
        <v>3</v>
      </c>
      <c r="D86" s="325">
        <v>16</v>
      </c>
      <c r="E86" s="370">
        <v>3</v>
      </c>
      <c r="F86" s="325">
        <v>17</v>
      </c>
      <c r="G86" s="370">
        <v>3</v>
      </c>
      <c r="H86" s="325">
        <v>18</v>
      </c>
      <c r="I86" s="370">
        <v>3</v>
      </c>
      <c r="J86" s="325">
        <v>19</v>
      </c>
      <c r="K86" s="370">
        <v>3</v>
      </c>
      <c r="L86" s="325">
        <v>20</v>
      </c>
      <c r="M86" s="370">
        <v>3</v>
      </c>
      <c r="N86" s="325">
        <v>21</v>
      </c>
      <c r="O86" s="370">
        <v>3</v>
      </c>
      <c r="P86" s="325">
        <v>22</v>
      </c>
      <c r="Q86" s="370">
        <v>3</v>
      </c>
      <c r="R86" s="399">
        <v>23</v>
      </c>
      <c r="S86" s="400">
        <v>13</v>
      </c>
      <c r="T86" s="370">
        <v>3</v>
      </c>
      <c r="U86" s="325">
        <v>24</v>
      </c>
      <c r="V86" s="370">
        <v>3</v>
      </c>
      <c r="W86" s="325">
        <v>25</v>
      </c>
      <c r="X86" s="370">
        <v>3</v>
      </c>
      <c r="Y86" s="325">
        <v>26</v>
      </c>
      <c r="Z86" s="370">
        <v>3</v>
      </c>
      <c r="AA86" s="325">
        <v>27</v>
      </c>
      <c r="AB86" s="370">
        <v>3</v>
      </c>
      <c r="AC86" s="325">
        <v>28</v>
      </c>
      <c r="AD86" s="370">
        <v>3</v>
      </c>
      <c r="AE86" s="325">
        <v>29</v>
      </c>
      <c r="AF86" s="370">
        <v>3</v>
      </c>
      <c r="AG86" s="325">
        <v>30</v>
      </c>
      <c r="AH86" s="370">
        <v>3</v>
      </c>
      <c r="AI86" s="325">
        <v>31</v>
      </c>
      <c r="AJ86" s="401">
        <v>13</v>
      </c>
      <c r="AK86" s="310"/>
    </row>
    <row r="87" spans="1:37" ht="15.75">
      <c r="A87" s="310"/>
      <c r="B87" s="384">
        <v>14</v>
      </c>
      <c r="C87" s="370">
        <v>3</v>
      </c>
      <c r="D87" s="325">
        <v>31</v>
      </c>
      <c r="E87" s="370">
        <v>3</v>
      </c>
      <c r="F87" s="325">
        <v>32</v>
      </c>
      <c r="G87" s="370">
        <v>3</v>
      </c>
      <c r="H87" s="325">
        <v>33</v>
      </c>
      <c r="I87" s="370">
        <v>3</v>
      </c>
      <c r="J87" s="325">
        <v>34</v>
      </c>
      <c r="K87" s="370">
        <v>3</v>
      </c>
      <c r="L87" s="325">
        <v>35</v>
      </c>
      <c r="M87" s="370">
        <v>3</v>
      </c>
      <c r="N87" s="325">
        <v>36</v>
      </c>
      <c r="O87" s="370">
        <v>3</v>
      </c>
      <c r="P87" s="325">
        <v>37</v>
      </c>
      <c r="Q87" s="370">
        <v>3</v>
      </c>
      <c r="R87" s="399">
        <v>38</v>
      </c>
      <c r="S87" s="400">
        <v>14</v>
      </c>
      <c r="T87" s="370">
        <v>3</v>
      </c>
      <c r="U87" s="325">
        <v>39</v>
      </c>
      <c r="V87" s="370">
        <v>3</v>
      </c>
      <c r="W87" s="325">
        <v>40</v>
      </c>
      <c r="X87" s="370">
        <v>3</v>
      </c>
      <c r="Y87" s="325">
        <v>41</v>
      </c>
      <c r="Z87" s="370">
        <v>3</v>
      </c>
      <c r="AA87" s="325">
        <v>42</v>
      </c>
      <c r="AB87" s="370">
        <v>3</v>
      </c>
      <c r="AC87" s="325">
        <v>43</v>
      </c>
      <c r="AD87" s="370">
        <v>3</v>
      </c>
      <c r="AE87" s="325">
        <v>44</v>
      </c>
      <c r="AF87" s="370">
        <v>3</v>
      </c>
      <c r="AG87" s="325">
        <v>45</v>
      </c>
      <c r="AH87" s="370">
        <v>3</v>
      </c>
      <c r="AI87" s="325">
        <v>46</v>
      </c>
      <c r="AJ87" s="401">
        <v>14</v>
      </c>
      <c r="AK87" s="310"/>
    </row>
    <row r="88" spans="1:37" ht="24" customHeight="1">
      <c r="A88" s="310"/>
      <c r="B88" s="384">
        <v>15</v>
      </c>
      <c r="C88" s="370">
        <v>3</v>
      </c>
      <c r="D88" s="325">
        <v>46</v>
      </c>
      <c r="E88" s="370">
        <v>3</v>
      </c>
      <c r="F88" s="325">
        <v>47</v>
      </c>
      <c r="G88" s="370">
        <v>3</v>
      </c>
      <c r="H88" s="325">
        <v>48</v>
      </c>
      <c r="I88" s="370">
        <v>3</v>
      </c>
      <c r="J88" s="325">
        <v>49</v>
      </c>
      <c r="K88" s="370">
        <v>3</v>
      </c>
      <c r="L88" s="325">
        <v>50</v>
      </c>
      <c r="M88" s="370">
        <v>3</v>
      </c>
      <c r="N88" s="325">
        <v>51</v>
      </c>
      <c r="O88" s="370">
        <v>3</v>
      </c>
      <c r="P88" s="325">
        <v>52</v>
      </c>
      <c r="Q88" s="370">
        <v>3</v>
      </c>
      <c r="R88" s="399">
        <v>53</v>
      </c>
      <c r="S88" s="400">
        <v>15</v>
      </c>
      <c r="T88" s="370">
        <v>3</v>
      </c>
      <c r="U88" s="325">
        <v>54</v>
      </c>
      <c r="V88" s="370">
        <v>3</v>
      </c>
      <c r="W88" s="325">
        <v>55</v>
      </c>
      <c r="X88" s="370">
        <v>3</v>
      </c>
      <c r="Y88" s="325">
        <v>56</v>
      </c>
      <c r="Z88" s="370">
        <v>3</v>
      </c>
      <c r="AA88" s="325">
        <v>57</v>
      </c>
      <c r="AB88" s="370">
        <v>3</v>
      </c>
      <c r="AC88" s="325">
        <v>58</v>
      </c>
      <c r="AD88" s="370">
        <v>3</v>
      </c>
      <c r="AE88" s="325">
        <v>59</v>
      </c>
      <c r="AF88" s="370">
        <v>4</v>
      </c>
      <c r="AG88" s="325">
        <v>0</v>
      </c>
      <c r="AH88" s="370">
        <v>4</v>
      </c>
      <c r="AI88" s="325">
        <v>1</v>
      </c>
      <c r="AJ88" s="401">
        <v>15</v>
      </c>
      <c r="AK88" s="310"/>
    </row>
    <row r="89" spans="1:37" ht="15.75">
      <c r="A89" s="310"/>
      <c r="B89" s="384">
        <v>16</v>
      </c>
      <c r="C89" s="370">
        <v>4</v>
      </c>
      <c r="D89" s="325">
        <v>1</v>
      </c>
      <c r="E89" s="370">
        <v>4</v>
      </c>
      <c r="F89" s="325">
        <v>2</v>
      </c>
      <c r="G89" s="370">
        <v>4</v>
      </c>
      <c r="H89" s="325">
        <v>3</v>
      </c>
      <c r="I89" s="370">
        <v>4</v>
      </c>
      <c r="J89" s="325">
        <v>4</v>
      </c>
      <c r="K89" s="370">
        <v>4</v>
      </c>
      <c r="L89" s="325">
        <v>5</v>
      </c>
      <c r="M89" s="370">
        <v>4</v>
      </c>
      <c r="N89" s="325">
        <v>6</v>
      </c>
      <c r="O89" s="370">
        <v>4</v>
      </c>
      <c r="P89" s="325">
        <v>7</v>
      </c>
      <c r="Q89" s="370">
        <v>4</v>
      </c>
      <c r="R89" s="399">
        <v>8</v>
      </c>
      <c r="S89" s="400">
        <v>16</v>
      </c>
      <c r="T89" s="370">
        <v>4</v>
      </c>
      <c r="U89" s="325">
        <v>9</v>
      </c>
      <c r="V89" s="370">
        <v>4</v>
      </c>
      <c r="W89" s="325">
        <v>10</v>
      </c>
      <c r="X89" s="370">
        <v>4</v>
      </c>
      <c r="Y89" s="325">
        <v>11</v>
      </c>
      <c r="Z89" s="370">
        <v>4</v>
      </c>
      <c r="AA89" s="325">
        <v>12</v>
      </c>
      <c r="AB89" s="370">
        <v>4</v>
      </c>
      <c r="AC89" s="325">
        <v>13</v>
      </c>
      <c r="AD89" s="370">
        <v>4</v>
      </c>
      <c r="AE89" s="325">
        <v>14</v>
      </c>
      <c r="AF89" s="370">
        <v>4</v>
      </c>
      <c r="AG89" s="325">
        <v>15</v>
      </c>
      <c r="AH89" s="370">
        <v>4</v>
      </c>
      <c r="AI89" s="325">
        <v>16</v>
      </c>
      <c r="AJ89" s="401">
        <v>16</v>
      </c>
      <c r="AK89" s="310"/>
    </row>
    <row r="90" spans="1:37" ht="15.75">
      <c r="A90" s="310"/>
      <c r="B90" s="384">
        <v>17</v>
      </c>
      <c r="C90" s="370">
        <v>4</v>
      </c>
      <c r="D90" s="325">
        <v>16</v>
      </c>
      <c r="E90" s="370">
        <v>4</v>
      </c>
      <c r="F90" s="325">
        <v>17</v>
      </c>
      <c r="G90" s="370">
        <v>4</v>
      </c>
      <c r="H90" s="325">
        <v>18</v>
      </c>
      <c r="I90" s="370">
        <v>4</v>
      </c>
      <c r="J90" s="325">
        <v>19</v>
      </c>
      <c r="K90" s="370">
        <v>4</v>
      </c>
      <c r="L90" s="325">
        <v>20</v>
      </c>
      <c r="M90" s="370">
        <v>4</v>
      </c>
      <c r="N90" s="325">
        <v>21</v>
      </c>
      <c r="O90" s="370">
        <v>4</v>
      </c>
      <c r="P90" s="325">
        <v>22</v>
      </c>
      <c r="Q90" s="370">
        <v>4</v>
      </c>
      <c r="R90" s="399">
        <v>23</v>
      </c>
      <c r="S90" s="400">
        <v>17</v>
      </c>
      <c r="T90" s="370">
        <v>4</v>
      </c>
      <c r="U90" s="325">
        <v>24</v>
      </c>
      <c r="V90" s="370">
        <v>4</v>
      </c>
      <c r="W90" s="325">
        <v>25</v>
      </c>
      <c r="X90" s="370">
        <v>4</v>
      </c>
      <c r="Y90" s="325">
        <v>26</v>
      </c>
      <c r="Z90" s="370">
        <v>4</v>
      </c>
      <c r="AA90" s="325">
        <v>27</v>
      </c>
      <c r="AB90" s="370">
        <v>4</v>
      </c>
      <c r="AC90" s="325">
        <v>28</v>
      </c>
      <c r="AD90" s="370">
        <v>4</v>
      </c>
      <c r="AE90" s="325">
        <v>29</v>
      </c>
      <c r="AF90" s="370">
        <v>4</v>
      </c>
      <c r="AG90" s="325">
        <v>30</v>
      </c>
      <c r="AH90" s="370">
        <v>4</v>
      </c>
      <c r="AI90" s="325">
        <v>31</v>
      </c>
      <c r="AJ90" s="401">
        <v>17</v>
      </c>
      <c r="AK90" s="310"/>
    </row>
    <row r="91" spans="1:37" ht="15.75">
      <c r="A91" s="310"/>
      <c r="B91" s="384">
        <v>18</v>
      </c>
      <c r="C91" s="370">
        <v>4</v>
      </c>
      <c r="D91" s="325">
        <v>31</v>
      </c>
      <c r="E91" s="370">
        <v>4</v>
      </c>
      <c r="F91" s="325">
        <v>32</v>
      </c>
      <c r="G91" s="370">
        <v>4</v>
      </c>
      <c r="H91" s="325">
        <v>33</v>
      </c>
      <c r="I91" s="370">
        <v>4</v>
      </c>
      <c r="J91" s="325">
        <v>34</v>
      </c>
      <c r="K91" s="370">
        <v>4</v>
      </c>
      <c r="L91" s="325">
        <v>35</v>
      </c>
      <c r="M91" s="370">
        <v>4</v>
      </c>
      <c r="N91" s="325">
        <v>36</v>
      </c>
      <c r="O91" s="370">
        <v>4</v>
      </c>
      <c r="P91" s="325">
        <v>37</v>
      </c>
      <c r="Q91" s="370">
        <v>4</v>
      </c>
      <c r="R91" s="399">
        <v>38</v>
      </c>
      <c r="S91" s="400">
        <v>18</v>
      </c>
      <c r="T91" s="370">
        <v>4</v>
      </c>
      <c r="U91" s="325">
        <v>39</v>
      </c>
      <c r="V91" s="370">
        <v>4</v>
      </c>
      <c r="W91" s="325">
        <v>40</v>
      </c>
      <c r="X91" s="370">
        <v>4</v>
      </c>
      <c r="Y91" s="325">
        <v>41</v>
      </c>
      <c r="Z91" s="370">
        <v>4</v>
      </c>
      <c r="AA91" s="325">
        <v>42</v>
      </c>
      <c r="AB91" s="370">
        <v>4</v>
      </c>
      <c r="AC91" s="325">
        <v>43</v>
      </c>
      <c r="AD91" s="370">
        <v>4</v>
      </c>
      <c r="AE91" s="325">
        <v>44</v>
      </c>
      <c r="AF91" s="370">
        <v>4</v>
      </c>
      <c r="AG91" s="325">
        <v>45</v>
      </c>
      <c r="AH91" s="370">
        <v>4</v>
      </c>
      <c r="AI91" s="325">
        <v>46</v>
      </c>
      <c r="AJ91" s="401">
        <v>18</v>
      </c>
      <c r="AK91" s="310"/>
    </row>
    <row r="92" spans="1:37" ht="15.75">
      <c r="A92" s="310"/>
      <c r="B92" s="384">
        <v>19</v>
      </c>
      <c r="C92" s="370">
        <v>4</v>
      </c>
      <c r="D92" s="325">
        <v>46</v>
      </c>
      <c r="E92" s="370">
        <v>4</v>
      </c>
      <c r="F92" s="325">
        <v>47</v>
      </c>
      <c r="G92" s="370">
        <v>4</v>
      </c>
      <c r="H92" s="325">
        <v>48</v>
      </c>
      <c r="I92" s="370">
        <v>4</v>
      </c>
      <c r="J92" s="325">
        <v>49</v>
      </c>
      <c r="K92" s="370">
        <v>4</v>
      </c>
      <c r="L92" s="325">
        <v>50</v>
      </c>
      <c r="M92" s="370">
        <v>4</v>
      </c>
      <c r="N92" s="325">
        <v>51</v>
      </c>
      <c r="O92" s="370">
        <v>4</v>
      </c>
      <c r="P92" s="325">
        <v>52</v>
      </c>
      <c r="Q92" s="370">
        <v>4</v>
      </c>
      <c r="R92" s="399">
        <v>53</v>
      </c>
      <c r="S92" s="400">
        <v>19</v>
      </c>
      <c r="T92" s="370">
        <v>4</v>
      </c>
      <c r="U92" s="325">
        <v>54</v>
      </c>
      <c r="V92" s="370">
        <v>4</v>
      </c>
      <c r="W92" s="325">
        <v>55</v>
      </c>
      <c r="X92" s="370">
        <v>4</v>
      </c>
      <c r="Y92" s="325">
        <v>56</v>
      </c>
      <c r="Z92" s="370">
        <v>4</v>
      </c>
      <c r="AA92" s="325">
        <v>57</v>
      </c>
      <c r="AB92" s="370">
        <v>4</v>
      </c>
      <c r="AC92" s="325">
        <v>58</v>
      </c>
      <c r="AD92" s="370">
        <v>4</v>
      </c>
      <c r="AE92" s="325">
        <v>59</v>
      </c>
      <c r="AF92" s="370">
        <v>5</v>
      </c>
      <c r="AG92" s="325">
        <v>0</v>
      </c>
      <c r="AH92" s="370">
        <v>5</v>
      </c>
      <c r="AI92" s="325">
        <v>1</v>
      </c>
      <c r="AJ92" s="401">
        <v>19</v>
      </c>
      <c r="AK92" s="310"/>
    </row>
    <row r="93" spans="1:37" ht="24" customHeight="1">
      <c r="A93" s="310"/>
      <c r="B93" s="384">
        <v>20</v>
      </c>
      <c r="C93" s="370">
        <v>5</v>
      </c>
      <c r="D93" s="325">
        <v>1</v>
      </c>
      <c r="E93" s="370">
        <v>5</v>
      </c>
      <c r="F93" s="325">
        <v>2</v>
      </c>
      <c r="G93" s="370">
        <v>5</v>
      </c>
      <c r="H93" s="325">
        <v>3</v>
      </c>
      <c r="I93" s="370">
        <v>5</v>
      </c>
      <c r="J93" s="325">
        <v>4</v>
      </c>
      <c r="K93" s="370">
        <v>5</v>
      </c>
      <c r="L93" s="325">
        <v>5</v>
      </c>
      <c r="M93" s="370">
        <v>5</v>
      </c>
      <c r="N93" s="325">
        <v>6</v>
      </c>
      <c r="O93" s="370">
        <v>5</v>
      </c>
      <c r="P93" s="325">
        <v>7</v>
      </c>
      <c r="Q93" s="370">
        <v>5</v>
      </c>
      <c r="R93" s="399">
        <v>8</v>
      </c>
      <c r="S93" s="400">
        <v>20</v>
      </c>
      <c r="T93" s="370">
        <v>5</v>
      </c>
      <c r="U93" s="325">
        <v>9</v>
      </c>
      <c r="V93" s="370">
        <v>5</v>
      </c>
      <c r="W93" s="325">
        <v>10</v>
      </c>
      <c r="X93" s="370">
        <v>5</v>
      </c>
      <c r="Y93" s="325">
        <v>11</v>
      </c>
      <c r="Z93" s="370">
        <v>5</v>
      </c>
      <c r="AA93" s="325">
        <v>12</v>
      </c>
      <c r="AB93" s="370">
        <v>5</v>
      </c>
      <c r="AC93" s="325">
        <v>13</v>
      </c>
      <c r="AD93" s="370">
        <v>5</v>
      </c>
      <c r="AE93" s="325">
        <v>14</v>
      </c>
      <c r="AF93" s="370">
        <v>5</v>
      </c>
      <c r="AG93" s="325">
        <v>15</v>
      </c>
      <c r="AH93" s="370">
        <v>5</v>
      </c>
      <c r="AI93" s="325">
        <v>16</v>
      </c>
      <c r="AJ93" s="401">
        <v>20</v>
      </c>
      <c r="AK93" s="310"/>
    </row>
    <row r="94" spans="1:37" ht="15.75">
      <c r="A94" s="310"/>
      <c r="B94" s="384">
        <v>21</v>
      </c>
      <c r="C94" s="370">
        <v>5</v>
      </c>
      <c r="D94" s="325">
        <v>16</v>
      </c>
      <c r="E94" s="370">
        <v>5</v>
      </c>
      <c r="F94" s="325">
        <v>17</v>
      </c>
      <c r="G94" s="370">
        <v>5</v>
      </c>
      <c r="H94" s="325">
        <v>18</v>
      </c>
      <c r="I94" s="370">
        <v>5</v>
      </c>
      <c r="J94" s="325">
        <v>19</v>
      </c>
      <c r="K94" s="370">
        <v>5</v>
      </c>
      <c r="L94" s="325">
        <v>20</v>
      </c>
      <c r="M94" s="370">
        <v>5</v>
      </c>
      <c r="N94" s="325">
        <v>21</v>
      </c>
      <c r="O94" s="370">
        <v>5</v>
      </c>
      <c r="P94" s="325">
        <v>22</v>
      </c>
      <c r="Q94" s="370">
        <v>5</v>
      </c>
      <c r="R94" s="399">
        <v>23</v>
      </c>
      <c r="S94" s="400">
        <v>21</v>
      </c>
      <c r="T94" s="370">
        <v>5</v>
      </c>
      <c r="U94" s="325">
        <v>24</v>
      </c>
      <c r="V94" s="370">
        <v>5</v>
      </c>
      <c r="W94" s="325">
        <v>25</v>
      </c>
      <c r="X94" s="370">
        <v>5</v>
      </c>
      <c r="Y94" s="325">
        <v>26</v>
      </c>
      <c r="Z94" s="370">
        <v>5</v>
      </c>
      <c r="AA94" s="325">
        <v>27</v>
      </c>
      <c r="AB94" s="370">
        <v>5</v>
      </c>
      <c r="AC94" s="325">
        <v>28</v>
      </c>
      <c r="AD94" s="370">
        <v>5</v>
      </c>
      <c r="AE94" s="325">
        <v>29</v>
      </c>
      <c r="AF94" s="370">
        <v>5</v>
      </c>
      <c r="AG94" s="325">
        <v>30</v>
      </c>
      <c r="AH94" s="370">
        <v>5</v>
      </c>
      <c r="AI94" s="325">
        <v>31</v>
      </c>
      <c r="AJ94" s="401">
        <v>21</v>
      </c>
      <c r="AK94" s="310"/>
    </row>
    <row r="95" spans="1:37" ht="15.75">
      <c r="A95" s="310"/>
      <c r="B95" s="384">
        <v>22</v>
      </c>
      <c r="C95" s="370">
        <v>5</v>
      </c>
      <c r="D95" s="325">
        <v>31</v>
      </c>
      <c r="E95" s="370">
        <v>5</v>
      </c>
      <c r="F95" s="325">
        <v>32</v>
      </c>
      <c r="G95" s="370">
        <v>5</v>
      </c>
      <c r="H95" s="325">
        <v>33</v>
      </c>
      <c r="I95" s="370">
        <v>5</v>
      </c>
      <c r="J95" s="325">
        <v>34</v>
      </c>
      <c r="K95" s="370">
        <v>5</v>
      </c>
      <c r="L95" s="325">
        <v>35</v>
      </c>
      <c r="M95" s="370">
        <v>5</v>
      </c>
      <c r="N95" s="325">
        <v>36</v>
      </c>
      <c r="O95" s="370">
        <v>5</v>
      </c>
      <c r="P95" s="325">
        <v>37</v>
      </c>
      <c r="Q95" s="370">
        <v>5</v>
      </c>
      <c r="R95" s="399">
        <v>38</v>
      </c>
      <c r="S95" s="400">
        <v>22</v>
      </c>
      <c r="T95" s="370">
        <v>5</v>
      </c>
      <c r="U95" s="325">
        <v>39</v>
      </c>
      <c r="V95" s="370">
        <v>5</v>
      </c>
      <c r="W95" s="325">
        <v>40</v>
      </c>
      <c r="X95" s="370">
        <v>5</v>
      </c>
      <c r="Y95" s="325">
        <v>41</v>
      </c>
      <c r="Z95" s="370">
        <v>5</v>
      </c>
      <c r="AA95" s="325">
        <v>42</v>
      </c>
      <c r="AB95" s="370">
        <v>5</v>
      </c>
      <c r="AC95" s="325">
        <v>43</v>
      </c>
      <c r="AD95" s="370">
        <v>5</v>
      </c>
      <c r="AE95" s="325">
        <v>44</v>
      </c>
      <c r="AF95" s="370">
        <v>5</v>
      </c>
      <c r="AG95" s="325">
        <v>45</v>
      </c>
      <c r="AH95" s="370">
        <v>5</v>
      </c>
      <c r="AI95" s="325">
        <v>46</v>
      </c>
      <c r="AJ95" s="401">
        <v>22</v>
      </c>
      <c r="AK95" s="310"/>
    </row>
    <row r="96" spans="1:37" ht="15.75">
      <c r="A96" s="310"/>
      <c r="B96" s="384">
        <v>23</v>
      </c>
      <c r="C96" s="370">
        <v>5</v>
      </c>
      <c r="D96" s="325">
        <v>46</v>
      </c>
      <c r="E96" s="370">
        <v>5</v>
      </c>
      <c r="F96" s="325">
        <v>47</v>
      </c>
      <c r="G96" s="370">
        <v>5</v>
      </c>
      <c r="H96" s="325">
        <v>48</v>
      </c>
      <c r="I96" s="370">
        <v>5</v>
      </c>
      <c r="J96" s="325">
        <v>49</v>
      </c>
      <c r="K96" s="370">
        <v>5</v>
      </c>
      <c r="L96" s="325">
        <v>50</v>
      </c>
      <c r="M96" s="370">
        <v>5</v>
      </c>
      <c r="N96" s="325">
        <v>51</v>
      </c>
      <c r="O96" s="370">
        <v>5</v>
      </c>
      <c r="P96" s="325">
        <v>52</v>
      </c>
      <c r="Q96" s="370">
        <v>5</v>
      </c>
      <c r="R96" s="399">
        <v>53</v>
      </c>
      <c r="S96" s="400">
        <v>23</v>
      </c>
      <c r="T96" s="370">
        <v>5</v>
      </c>
      <c r="U96" s="325">
        <v>54</v>
      </c>
      <c r="V96" s="370">
        <v>5</v>
      </c>
      <c r="W96" s="325">
        <v>55</v>
      </c>
      <c r="X96" s="370">
        <v>5</v>
      </c>
      <c r="Y96" s="325">
        <v>56</v>
      </c>
      <c r="Z96" s="370">
        <v>5</v>
      </c>
      <c r="AA96" s="325">
        <v>57</v>
      </c>
      <c r="AB96" s="370">
        <v>5</v>
      </c>
      <c r="AC96" s="325">
        <v>58</v>
      </c>
      <c r="AD96" s="370">
        <v>5</v>
      </c>
      <c r="AE96" s="325">
        <v>59</v>
      </c>
      <c r="AF96" s="370">
        <v>6</v>
      </c>
      <c r="AG96" s="325">
        <v>0</v>
      </c>
      <c r="AH96" s="370">
        <v>6</v>
      </c>
      <c r="AI96" s="325">
        <v>1</v>
      </c>
      <c r="AJ96" s="401">
        <v>23</v>
      </c>
      <c r="AK96" s="310"/>
    </row>
    <row r="97" spans="1:37" ht="15.75">
      <c r="A97" s="310"/>
      <c r="B97" s="384">
        <v>24</v>
      </c>
      <c r="C97" s="370">
        <v>6</v>
      </c>
      <c r="D97" s="325">
        <v>1</v>
      </c>
      <c r="E97" s="370">
        <v>6</v>
      </c>
      <c r="F97" s="325">
        <v>2</v>
      </c>
      <c r="G97" s="370">
        <v>6</v>
      </c>
      <c r="H97" s="325">
        <v>3</v>
      </c>
      <c r="I97" s="370">
        <v>6</v>
      </c>
      <c r="J97" s="325">
        <v>4</v>
      </c>
      <c r="K97" s="370">
        <v>6</v>
      </c>
      <c r="L97" s="325">
        <v>5</v>
      </c>
      <c r="M97" s="370">
        <v>6</v>
      </c>
      <c r="N97" s="325">
        <v>6</v>
      </c>
      <c r="O97" s="370">
        <v>6</v>
      </c>
      <c r="P97" s="325">
        <v>7</v>
      </c>
      <c r="Q97" s="370">
        <v>6</v>
      </c>
      <c r="R97" s="399">
        <v>8</v>
      </c>
      <c r="S97" s="400">
        <v>24</v>
      </c>
      <c r="T97" s="370">
        <v>6</v>
      </c>
      <c r="U97" s="325">
        <v>9</v>
      </c>
      <c r="V97" s="370">
        <v>6</v>
      </c>
      <c r="W97" s="325">
        <v>10</v>
      </c>
      <c r="X97" s="370">
        <v>6</v>
      </c>
      <c r="Y97" s="325">
        <v>11</v>
      </c>
      <c r="Z97" s="370">
        <v>6</v>
      </c>
      <c r="AA97" s="325">
        <v>12</v>
      </c>
      <c r="AB97" s="370">
        <v>6</v>
      </c>
      <c r="AC97" s="325">
        <v>13</v>
      </c>
      <c r="AD97" s="370">
        <v>6</v>
      </c>
      <c r="AE97" s="325">
        <v>14</v>
      </c>
      <c r="AF97" s="370">
        <v>6</v>
      </c>
      <c r="AG97" s="325">
        <v>15</v>
      </c>
      <c r="AH97" s="370">
        <v>6</v>
      </c>
      <c r="AI97" s="325">
        <v>16</v>
      </c>
      <c r="AJ97" s="401">
        <v>24</v>
      </c>
      <c r="AK97" s="310"/>
    </row>
    <row r="98" spans="1:37" ht="24" customHeight="1">
      <c r="A98" s="310"/>
      <c r="B98" s="384">
        <v>25</v>
      </c>
      <c r="C98" s="370">
        <v>6</v>
      </c>
      <c r="D98" s="325">
        <v>16</v>
      </c>
      <c r="E98" s="370">
        <v>6</v>
      </c>
      <c r="F98" s="325">
        <v>17</v>
      </c>
      <c r="G98" s="370">
        <v>6</v>
      </c>
      <c r="H98" s="325">
        <v>18</v>
      </c>
      <c r="I98" s="370">
        <v>6</v>
      </c>
      <c r="J98" s="325">
        <v>19</v>
      </c>
      <c r="K98" s="370">
        <v>6</v>
      </c>
      <c r="L98" s="325">
        <v>20</v>
      </c>
      <c r="M98" s="370">
        <v>6</v>
      </c>
      <c r="N98" s="325">
        <v>21</v>
      </c>
      <c r="O98" s="370">
        <v>6</v>
      </c>
      <c r="P98" s="325">
        <v>22</v>
      </c>
      <c r="Q98" s="370">
        <v>6</v>
      </c>
      <c r="R98" s="399">
        <v>23</v>
      </c>
      <c r="S98" s="400">
        <v>25</v>
      </c>
      <c r="T98" s="370">
        <v>6</v>
      </c>
      <c r="U98" s="325">
        <v>24</v>
      </c>
      <c r="V98" s="370">
        <v>6</v>
      </c>
      <c r="W98" s="325">
        <v>25</v>
      </c>
      <c r="X98" s="370">
        <v>6</v>
      </c>
      <c r="Y98" s="325">
        <v>26</v>
      </c>
      <c r="Z98" s="370">
        <v>6</v>
      </c>
      <c r="AA98" s="325">
        <v>27</v>
      </c>
      <c r="AB98" s="370">
        <v>6</v>
      </c>
      <c r="AC98" s="325">
        <v>28</v>
      </c>
      <c r="AD98" s="370">
        <v>6</v>
      </c>
      <c r="AE98" s="325">
        <v>29</v>
      </c>
      <c r="AF98" s="370">
        <v>6</v>
      </c>
      <c r="AG98" s="325">
        <v>30</v>
      </c>
      <c r="AH98" s="370">
        <v>6</v>
      </c>
      <c r="AI98" s="325">
        <v>31</v>
      </c>
      <c r="AJ98" s="401">
        <v>25</v>
      </c>
      <c r="AK98" s="310"/>
    </row>
    <row r="99" spans="1:37" ht="15.75">
      <c r="A99" s="310"/>
      <c r="B99" s="384">
        <v>26</v>
      </c>
      <c r="C99" s="370">
        <v>6</v>
      </c>
      <c r="D99" s="325">
        <v>31</v>
      </c>
      <c r="E99" s="370">
        <v>6</v>
      </c>
      <c r="F99" s="325">
        <v>32</v>
      </c>
      <c r="G99" s="370">
        <v>6</v>
      </c>
      <c r="H99" s="325">
        <v>33</v>
      </c>
      <c r="I99" s="370">
        <v>6</v>
      </c>
      <c r="J99" s="325">
        <v>34</v>
      </c>
      <c r="K99" s="370">
        <v>6</v>
      </c>
      <c r="L99" s="325">
        <v>35</v>
      </c>
      <c r="M99" s="370">
        <v>6</v>
      </c>
      <c r="N99" s="325">
        <v>36</v>
      </c>
      <c r="O99" s="370">
        <v>6</v>
      </c>
      <c r="P99" s="325">
        <v>37</v>
      </c>
      <c r="Q99" s="370">
        <v>6</v>
      </c>
      <c r="R99" s="399">
        <v>38</v>
      </c>
      <c r="S99" s="400">
        <v>26</v>
      </c>
      <c r="T99" s="370">
        <v>6</v>
      </c>
      <c r="U99" s="325">
        <v>39</v>
      </c>
      <c r="V99" s="370">
        <v>6</v>
      </c>
      <c r="W99" s="325">
        <v>40</v>
      </c>
      <c r="X99" s="370">
        <v>6</v>
      </c>
      <c r="Y99" s="325">
        <v>41</v>
      </c>
      <c r="Z99" s="370">
        <v>6</v>
      </c>
      <c r="AA99" s="325">
        <v>42</v>
      </c>
      <c r="AB99" s="370">
        <v>6</v>
      </c>
      <c r="AC99" s="325">
        <v>43</v>
      </c>
      <c r="AD99" s="370">
        <v>6</v>
      </c>
      <c r="AE99" s="325">
        <v>44</v>
      </c>
      <c r="AF99" s="370">
        <v>6</v>
      </c>
      <c r="AG99" s="325">
        <v>45</v>
      </c>
      <c r="AH99" s="370">
        <v>6</v>
      </c>
      <c r="AI99" s="325">
        <v>46</v>
      </c>
      <c r="AJ99" s="401">
        <v>26</v>
      </c>
      <c r="AK99" s="310"/>
    </row>
    <row r="100" spans="1:37" ht="15.75">
      <c r="A100" s="310"/>
      <c r="B100" s="384">
        <v>27</v>
      </c>
      <c r="C100" s="370">
        <v>6</v>
      </c>
      <c r="D100" s="325">
        <v>46</v>
      </c>
      <c r="E100" s="370">
        <v>6</v>
      </c>
      <c r="F100" s="325">
        <v>47</v>
      </c>
      <c r="G100" s="370">
        <v>6</v>
      </c>
      <c r="H100" s="325">
        <v>48</v>
      </c>
      <c r="I100" s="370">
        <v>6</v>
      </c>
      <c r="J100" s="325">
        <v>49</v>
      </c>
      <c r="K100" s="370">
        <v>6</v>
      </c>
      <c r="L100" s="325">
        <v>50</v>
      </c>
      <c r="M100" s="370">
        <v>6</v>
      </c>
      <c r="N100" s="325">
        <v>51</v>
      </c>
      <c r="O100" s="370">
        <v>6</v>
      </c>
      <c r="P100" s="325">
        <v>52</v>
      </c>
      <c r="Q100" s="370">
        <v>6</v>
      </c>
      <c r="R100" s="399">
        <v>53</v>
      </c>
      <c r="S100" s="400">
        <v>27</v>
      </c>
      <c r="T100" s="370">
        <v>6</v>
      </c>
      <c r="U100" s="325">
        <v>54</v>
      </c>
      <c r="V100" s="370">
        <v>6</v>
      </c>
      <c r="W100" s="325">
        <v>55</v>
      </c>
      <c r="X100" s="370">
        <v>6</v>
      </c>
      <c r="Y100" s="325">
        <v>56</v>
      </c>
      <c r="Z100" s="370">
        <v>6</v>
      </c>
      <c r="AA100" s="325">
        <v>57</v>
      </c>
      <c r="AB100" s="370">
        <v>6</v>
      </c>
      <c r="AC100" s="325">
        <v>58</v>
      </c>
      <c r="AD100" s="370">
        <v>6</v>
      </c>
      <c r="AE100" s="325">
        <v>59</v>
      </c>
      <c r="AF100" s="370">
        <v>7</v>
      </c>
      <c r="AG100" s="325">
        <v>0</v>
      </c>
      <c r="AH100" s="370">
        <v>7</v>
      </c>
      <c r="AI100" s="325">
        <v>1</v>
      </c>
      <c r="AJ100" s="401">
        <v>27</v>
      </c>
      <c r="AK100" s="310"/>
    </row>
    <row r="101" spans="1:37" ht="15.75">
      <c r="A101" s="310"/>
      <c r="B101" s="384">
        <v>28</v>
      </c>
      <c r="C101" s="370">
        <v>7</v>
      </c>
      <c r="D101" s="325">
        <v>1</v>
      </c>
      <c r="E101" s="370">
        <v>7</v>
      </c>
      <c r="F101" s="325">
        <v>2</v>
      </c>
      <c r="G101" s="370">
        <v>7</v>
      </c>
      <c r="H101" s="325">
        <v>3</v>
      </c>
      <c r="I101" s="370">
        <v>7</v>
      </c>
      <c r="J101" s="325">
        <v>4</v>
      </c>
      <c r="K101" s="370">
        <v>7</v>
      </c>
      <c r="L101" s="325">
        <v>5</v>
      </c>
      <c r="M101" s="370">
        <v>7</v>
      </c>
      <c r="N101" s="325">
        <v>6</v>
      </c>
      <c r="O101" s="370">
        <v>7</v>
      </c>
      <c r="P101" s="325">
        <v>7</v>
      </c>
      <c r="Q101" s="370">
        <v>7</v>
      </c>
      <c r="R101" s="399">
        <v>8</v>
      </c>
      <c r="S101" s="400">
        <v>28</v>
      </c>
      <c r="T101" s="370">
        <v>7</v>
      </c>
      <c r="U101" s="325">
        <v>9</v>
      </c>
      <c r="V101" s="370">
        <v>7</v>
      </c>
      <c r="W101" s="325">
        <v>10</v>
      </c>
      <c r="X101" s="370">
        <v>7</v>
      </c>
      <c r="Y101" s="325">
        <v>11</v>
      </c>
      <c r="Z101" s="370">
        <v>7</v>
      </c>
      <c r="AA101" s="325">
        <v>12</v>
      </c>
      <c r="AB101" s="370">
        <v>7</v>
      </c>
      <c r="AC101" s="325">
        <v>13</v>
      </c>
      <c r="AD101" s="370">
        <v>7</v>
      </c>
      <c r="AE101" s="325">
        <v>14</v>
      </c>
      <c r="AF101" s="370">
        <v>7</v>
      </c>
      <c r="AG101" s="325">
        <v>15</v>
      </c>
      <c r="AH101" s="370">
        <v>7</v>
      </c>
      <c r="AI101" s="325">
        <v>16</v>
      </c>
      <c r="AJ101" s="401">
        <v>28</v>
      </c>
      <c r="AK101" s="310"/>
    </row>
    <row r="102" spans="1:37" ht="15.75">
      <c r="A102" s="310"/>
      <c r="B102" s="384">
        <v>29</v>
      </c>
      <c r="C102" s="370">
        <v>7</v>
      </c>
      <c r="D102" s="325">
        <v>16</v>
      </c>
      <c r="E102" s="370">
        <v>7</v>
      </c>
      <c r="F102" s="325">
        <v>17</v>
      </c>
      <c r="G102" s="370">
        <v>7</v>
      </c>
      <c r="H102" s="325">
        <v>18</v>
      </c>
      <c r="I102" s="370">
        <v>7</v>
      </c>
      <c r="J102" s="325">
        <v>19</v>
      </c>
      <c r="K102" s="370">
        <v>7</v>
      </c>
      <c r="L102" s="325">
        <v>20</v>
      </c>
      <c r="M102" s="370">
        <v>7</v>
      </c>
      <c r="N102" s="325">
        <v>21</v>
      </c>
      <c r="O102" s="370">
        <v>7</v>
      </c>
      <c r="P102" s="325">
        <v>22</v>
      </c>
      <c r="Q102" s="370">
        <v>7</v>
      </c>
      <c r="R102" s="399">
        <v>23</v>
      </c>
      <c r="S102" s="400">
        <v>29</v>
      </c>
      <c r="T102" s="370">
        <v>7</v>
      </c>
      <c r="U102" s="325">
        <v>24</v>
      </c>
      <c r="V102" s="370">
        <v>7</v>
      </c>
      <c r="W102" s="325">
        <v>25</v>
      </c>
      <c r="X102" s="370">
        <v>7</v>
      </c>
      <c r="Y102" s="325">
        <v>26</v>
      </c>
      <c r="Z102" s="370">
        <v>7</v>
      </c>
      <c r="AA102" s="325">
        <v>27</v>
      </c>
      <c r="AB102" s="370">
        <v>7</v>
      </c>
      <c r="AC102" s="325">
        <v>28</v>
      </c>
      <c r="AD102" s="370">
        <v>7</v>
      </c>
      <c r="AE102" s="325">
        <v>29</v>
      </c>
      <c r="AF102" s="370">
        <v>7</v>
      </c>
      <c r="AG102" s="325">
        <v>30</v>
      </c>
      <c r="AH102" s="370">
        <v>7</v>
      </c>
      <c r="AI102" s="325">
        <v>31</v>
      </c>
      <c r="AJ102" s="401">
        <v>29</v>
      </c>
      <c r="AK102" s="310"/>
    </row>
    <row r="103" spans="1:37" ht="24" customHeight="1">
      <c r="A103" s="310"/>
      <c r="B103" s="384">
        <v>30</v>
      </c>
      <c r="C103" s="370">
        <v>7</v>
      </c>
      <c r="D103" s="325">
        <v>31</v>
      </c>
      <c r="E103" s="370">
        <v>7</v>
      </c>
      <c r="F103" s="325">
        <v>32</v>
      </c>
      <c r="G103" s="370">
        <v>7</v>
      </c>
      <c r="H103" s="325">
        <v>33</v>
      </c>
      <c r="I103" s="370">
        <v>7</v>
      </c>
      <c r="J103" s="325">
        <v>34</v>
      </c>
      <c r="K103" s="370">
        <v>7</v>
      </c>
      <c r="L103" s="325">
        <v>35</v>
      </c>
      <c r="M103" s="370">
        <v>7</v>
      </c>
      <c r="N103" s="325">
        <v>36</v>
      </c>
      <c r="O103" s="370">
        <v>7</v>
      </c>
      <c r="P103" s="325">
        <v>37</v>
      </c>
      <c r="Q103" s="370">
        <v>7</v>
      </c>
      <c r="R103" s="399">
        <v>38</v>
      </c>
      <c r="S103" s="400">
        <v>30</v>
      </c>
      <c r="T103" s="370">
        <v>7</v>
      </c>
      <c r="U103" s="325">
        <v>39</v>
      </c>
      <c r="V103" s="370">
        <v>7</v>
      </c>
      <c r="W103" s="325">
        <v>40</v>
      </c>
      <c r="X103" s="370">
        <v>7</v>
      </c>
      <c r="Y103" s="325">
        <v>41</v>
      </c>
      <c r="Z103" s="370">
        <v>7</v>
      </c>
      <c r="AA103" s="325">
        <v>42</v>
      </c>
      <c r="AB103" s="370">
        <v>7</v>
      </c>
      <c r="AC103" s="325">
        <v>43</v>
      </c>
      <c r="AD103" s="370">
        <v>7</v>
      </c>
      <c r="AE103" s="325">
        <v>44</v>
      </c>
      <c r="AF103" s="370">
        <v>7</v>
      </c>
      <c r="AG103" s="325">
        <v>45</v>
      </c>
      <c r="AH103" s="370">
        <v>7</v>
      </c>
      <c r="AI103" s="325">
        <v>46</v>
      </c>
      <c r="AJ103" s="401">
        <v>30</v>
      </c>
      <c r="AK103" s="310"/>
    </row>
    <row r="104" spans="1:37" ht="15.75">
      <c r="A104" s="310"/>
      <c r="B104" s="384">
        <v>31</v>
      </c>
      <c r="C104" s="370">
        <v>7</v>
      </c>
      <c r="D104" s="325">
        <v>46</v>
      </c>
      <c r="E104" s="370">
        <v>7</v>
      </c>
      <c r="F104" s="325">
        <v>47</v>
      </c>
      <c r="G104" s="370">
        <v>7</v>
      </c>
      <c r="H104" s="325">
        <v>48</v>
      </c>
      <c r="I104" s="370">
        <v>7</v>
      </c>
      <c r="J104" s="325">
        <v>49</v>
      </c>
      <c r="K104" s="370">
        <v>7</v>
      </c>
      <c r="L104" s="325">
        <v>50</v>
      </c>
      <c r="M104" s="370">
        <v>7</v>
      </c>
      <c r="N104" s="325">
        <v>51</v>
      </c>
      <c r="O104" s="370">
        <v>7</v>
      </c>
      <c r="P104" s="325">
        <v>52</v>
      </c>
      <c r="Q104" s="370">
        <v>7</v>
      </c>
      <c r="R104" s="399">
        <v>53</v>
      </c>
      <c r="S104" s="400">
        <v>31</v>
      </c>
      <c r="T104" s="370">
        <v>7</v>
      </c>
      <c r="U104" s="325">
        <v>54</v>
      </c>
      <c r="V104" s="370">
        <v>7</v>
      </c>
      <c r="W104" s="325">
        <v>55</v>
      </c>
      <c r="X104" s="370">
        <v>7</v>
      </c>
      <c r="Y104" s="325">
        <v>56</v>
      </c>
      <c r="Z104" s="370">
        <v>7</v>
      </c>
      <c r="AA104" s="325">
        <v>57</v>
      </c>
      <c r="AB104" s="370">
        <v>7</v>
      </c>
      <c r="AC104" s="325">
        <v>58</v>
      </c>
      <c r="AD104" s="370">
        <v>7</v>
      </c>
      <c r="AE104" s="325">
        <v>59</v>
      </c>
      <c r="AF104" s="370">
        <v>8</v>
      </c>
      <c r="AG104" s="325">
        <v>0</v>
      </c>
      <c r="AH104" s="370">
        <v>8</v>
      </c>
      <c r="AI104" s="325">
        <v>1</v>
      </c>
      <c r="AJ104" s="401">
        <v>31</v>
      </c>
      <c r="AK104" s="310"/>
    </row>
    <row r="105" spans="1:37" ht="15.75">
      <c r="A105" s="310"/>
      <c r="B105" s="384">
        <v>32</v>
      </c>
      <c r="C105" s="370">
        <v>8</v>
      </c>
      <c r="D105" s="325">
        <v>1</v>
      </c>
      <c r="E105" s="370">
        <v>8</v>
      </c>
      <c r="F105" s="325">
        <v>2</v>
      </c>
      <c r="G105" s="370">
        <v>8</v>
      </c>
      <c r="H105" s="325">
        <v>3</v>
      </c>
      <c r="I105" s="370">
        <v>8</v>
      </c>
      <c r="J105" s="325">
        <v>4</v>
      </c>
      <c r="K105" s="370">
        <v>8</v>
      </c>
      <c r="L105" s="325">
        <v>5</v>
      </c>
      <c r="M105" s="370">
        <v>8</v>
      </c>
      <c r="N105" s="325">
        <v>6</v>
      </c>
      <c r="O105" s="370">
        <v>8</v>
      </c>
      <c r="P105" s="325">
        <v>7</v>
      </c>
      <c r="Q105" s="370">
        <v>8</v>
      </c>
      <c r="R105" s="399">
        <v>8</v>
      </c>
      <c r="S105" s="400">
        <v>32</v>
      </c>
      <c r="T105" s="370">
        <v>8</v>
      </c>
      <c r="U105" s="325">
        <v>9</v>
      </c>
      <c r="V105" s="370">
        <v>8</v>
      </c>
      <c r="W105" s="325">
        <v>10</v>
      </c>
      <c r="X105" s="370">
        <v>8</v>
      </c>
      <c r="Y105" s="325">
        <v>11</v>
      </c>
      <c r="Z105" s="370">
        <v>8</v>
      </c>
      <c r="AA105" s="325">
        <v>12</v>
      </c>
      <c r="AB105" s="370">
        <v>8</v>
      </c>
      <c r="AC105" s="325">
        <v>13</v>
      </c>
      <c r="AD105" s="370">
        <v>8</v>
      </c>
      <c r="AE105" s="325">
        <v>14</v>
      </c>
      <c r="AF105" s="370">
        <v>8</v>
      </c>
      <c r="AG105" s="325">
        <v>15</v>
      </c>
      <c r="AH105" s="370">
        <v>8</v>
      </c>
      <c r="AI105" s="325">
        <v>16</v>
      </c>
      <c r="AJ105" s="401">
        <v>32</v>
      </c>
      <c r="AK105" s="310"/>
    </row>
    <row r="106" spans="1:37" ht="15.75">
      <c r="A106" s="310"/>
      <c r="B106" s="384">
        <v>33</v>
      </c>
      <c r="C106" s="370">
        <v>8</v>
      </c>
      <c r="D106" s="325">
        <v>16</v>
      </c>
      <c r="E106" s="370">
        <v>8</v>
      </c>
      <c r="F106" s="325">
        <v>17</v>
      </c>
      <c r="G106" s="370">
        <v>8</v>
      </c>
      <c r="H106" s="325">
        <v>18</v>
      </c>
      <c r="I106" s="370">
        <v>8</v>
      </c>
      <c r="J106" s="325">
        <v>19</v>
      </c>
      <c r="K106" s="370">
        <v>8</v>
      </c>
      <c r="L106" s="325">
        <v>20</v>
      </c>
      <c r="M106" s="370">
        <v>8</v>
      </c>
      <c r="N106" s="325">
        <v>21</v>
      </c>
      <c r="O106" s="370">
        <v>8</v>
      </c>
      <c r="P106" s="325">
        <v>22</v>
      </c>
      <c r="Q106" s="370">
        <v>8</v>
      </c>
      <c r="R106" s="399">
        <v>23</v>
      </c>
      <c r="S106" s="400">
        <v>33</v>
      </c>
      <c r="T106" s="370">
        <v>8</v>
      </c>
      <c r="U106" s="325">
        <v>24</v>
      </c>
      <c r="V106" s="370">
        <v>8</v>
      </c>
      <c r="W106" s="325">
        <v>25</v>
      </c>
      <c r="X106" s="370">
        <v>8</v>
      </c>
      <c r="Y106" s="325">
        <v>26</v>
      </c>
      <c r="Z106" s="370">
        <v>8</v>
      </c>
      <c r="AA106" s="325">
        <v>27</v>
      </c>
      <c r="AB106" s="370">
        <v>8</v>
      </c>
      <c r="AC106" s="325">
        <v>28</v>
      </c>
      <c r="AD106" s="370">
        <v>8</v>
      </c>
      <c r="AE106" s="325">
        <v>29</v>
      </c>
      <c r="AF106" s="370">
        <v>8</v>
      </c>
      <c r="AG106" s="325">
        <v>30</v>
      </c>
      <c r="AH106" s="370">
        <v>8</v>
      </c>
      <c r="AI106" s="325">
        <v>31</v>
      </c>
      <c r="AJ106" s="401">
        <v>33</v>
      </c>
      <c r="AK106" s="310"/>
    </row>
    <row r="107" spans="1:37" ht="15.75">
      <c r="A107" s="310"/>
      <c r="B107" s="384">
        <v>34</v>
      </c>
      <c r="C107" s="370">
        <v>8</v>
      </c>
      <c r="D107" s="325">
        <v>31</v>
      </c>
      <c r="E107" s="370">
        <v>8</v>
      </c>
      <c r="F107" s="325">
        <v>32</v>
      </c>
      <c r="G107" s="370">
        <v>8</v>
      </c>
      <c r="H107" s="325">
        <v>33</v>
      </c>
      <c r="I107" s="370">
        <v>8</v>
      </c>
      <c r="J107" s="325">
        <v>34</v>
      </c>
      <c r="K107" s="370">
        <v>8</v>
      </c>
      <c r="L107" s="325">
        <v>35</v>
      </c>
      <c r="M107" s="370">
        <v>8</v>
      </c>
      <c r="N107" s="325">
        <v>36</v>
      </c>
      <c r="O107" s="370">
        <v>8</v>
      </c>
      <c r="P107" s="325">
        <v>37</v>
      </c>
      <c r="Q107" s="370">
        <v>8</v>
      </c>
      <c r="R107" s="399">
        <v>38</v>
      </c>
      <c r="S107" s="400">
        <v>34</v>
      </c>
      <c r="T107" s="370">
        <v>8</v>
      </c>
      <c r="U107" s="325">
        <v>39</v>
      </c>
      <c r="V107" s="370">
        <v>8</v>
      </c>
      <c r="W107" s="325">
        <v>40</v>
      </c>
      <c r="X107" s="370">
        <v>8</v>
      </c>
      <c r="Y107" s="325">
        <v>41</v>
      </c>
      <c r="Z107" s="370">
        <v>8</v>
      </c>
      <c r="AA107" s="325">
        <v>42</v>
      </c>
      <c r="AB107" s="370">
        <v>8</v>
      </c>
      <c r="AC107" s="325">
        <v>43</v>
      </c>
      <c r="AD107" s="370">
        <v>8</v>
      </c>
      <c r="AE107" s="325">
        <v>44</v>
      </c>
      <c r="AF107" s="370">
        <v>8</v>
      </c>
      <c r="AG107" s="325">
        <v>45</v>
      </c>
      <c r="AH107" s="370">
        <v>8</v>
      </c>
      <c r="AI107" s="325">
        <v>46</v>
      </c>
      <c r="AJ107" s="401">
        <v>34</v>
      </c>
      <c r="AK107" s="310"/>
    </row>
    <row r="108" spans="1:37" ht="24" customHeight="1">
      <c r="A108" s="310"/>
      <c r="B108" s="384">
        <v>35</v>
      </c>
      <c r="C108" s="370">
        <v>8</v>
      </c>
      <c r="D108" s="325">
        <v>46</v>
      </c>
      <c r="E108" s="370">
        <v>8</v>
      </c>
      <c r="F108" s="325">
        <v>47</v>
      </c>
      <c r="G108" s="370">
        <v>8</v>
      </c>
      <c r="H108" s="325">
        <v>48</v>
      </c>
      <c r="I108" s="370">
        <v>8</v>
      </c>
      <c r="J108" s="325">
        <v>49</v>
      </c>
      <c r="K108" s="370">
        <v>8</v>
      </c>
      <c r="L108" s="325">
        <v>50</v>
      </c>
      <c r="M108" s="370">
        <v>8</v>
      </c>
      <c r="N108" s="325">
        <v>51</v>
      </c>
      <c r="O108" s="370">
        <v>8</v>
      </c>
      <c r="P108" s="325">
        <v>52</v>
      </c>
      <c r="Q108" s="370">
        <v>8</v>
      </c>
      <c r="R108" s="399">
        <v>53</v>
      </c>
      <c r="S108" s="400">
        <v>35</v>
      </c>
      <c r="T108" s="370">
        <v>8</v>
      </c>
      <c r="U108" s="325">
        <v>54</v>
      </c>
      <c r="V108" s="370">
        <v>8</v>
      </c>
      <c r="W108" s="325">
        <v>55</v>
      </c>
      <c r="X108" s="370">
        <v>8</v>
      </c>
      <c r="Y108" s="325">
        <v>56</v>
      </c>
      <c r="Z108" s="370">
        <v>8</v>
      </c>
      <c r="AA108" s="325">
        <v>57</v>
      </c>
      <c r="AB108" s="370">
        <v>8</v>
      </c>
      <c r="AC108" s="325">
        <v>58</v>
      </c>
      <c r="AD108" s="370">
        <v>8</v>
      </c>
      <c r="AE108" s="325">
        <v>59</v>
      </c>
      <c r="AF108" s="370">
        <v>9</v>
      </c>
      <c r="AG108" s="325">
        <v>0</v>
      </c>
      <c r="AH108" s="370">
        <v>9</v>
      </c>
      <c r="AI108" s="325">
        <v>1</v>
      </c>
      <c r="AJ108" s="401">
        <v>35</v>
      </c>
      <c r="AK108" s="310"/>
    </row>
    <row r="109" spans="1:37" ht="15.75">
      <c r="A109" s="310"/>
      <c r="B109" s="384">
        <v>36</v>
      </c>
      <c r="C109" s="370">
        <v>9</v>
      </c>
      <c r="D109" s="325">
        <v>1</v>
      </c>
      <c r="E109" s="370">
        <v>9</v>
      </c>
      <c r="F109" s="325">
        <v>2</v>
      </c>
      <c r="G109" s="370">
        <v>9</v>
      </c>
      <c r="H109" s="325">
        <v>3</v>
      </c>
      <c r="I109" s="370">
        <v>9</v>
      </c>
      <c r="J109" s="325">
        <v>4</v>
      </c>
      <c r="K109" s="370">
        <v>9</v>
      </c>
      <c r="L109" s="325">
        <v>5</v>
      </c>
      <c r="M109" s="370">
        <v>9</v>
      </c>
      <c r="N109" s="325">
        <v>6</v>
      </c>
      <c r="O109" s="370">
        <v>9</v>
      </c>
      <c r="P109" s="325">
        <v>7</v>
      </c>
      <c r="Q109" s="370">
        <v>9</v>
      </c>
      <c r="R109" s="399">
        <v>8</v>
      </c>
      <c r="S109" s="400">
        <v>36</v>
      </c>
      <c r="T109" s="370">
        <v>9</v>
      </c>
      <c r="U109" s="325">
        <v>10</v>
      </c>
      <c r="V109" s="370">
        <v>9</v>
      </c>
      <c r="W109" s="325">
        <v>11</v>
      </c>
      <c r="X109" s="370">
        <v>9</v>
      </c>
      <c r="Y109" s="325">
        <v>12</v>
      </c>
      <c r="Z109" s="370">
        <v>9</v>
      </c>
      <c r="AA109" s="325">
        <v>13</v>
      </c>
      <c r="AB109" s="370">
        <v>9</v>
      </c>
      <c r="AC109" s="325">
        <v>14</v>
      </c>
      <c r="AD109" s="370">
        <v>9</v>
      </c>
      <c r="AE109" s="325">
        <v>15</v>
      </c>
      <c r="AF109" s="370">
        <v>9</v>
      </c>
      <c r="AG109" s="325">
        <v>16</v>
      </c>
      <c r="AH109" s="370">
        <v>9</v>
      </c>
      <c r="AI109" s="325">
        <v>17</v>
      </c>
      <c r="AJ109" s="401">
        <v>36</v>
      </c>
      <c r="AK109" s="310"/>
    </row>
    <row r="110" spans="1:37" ht="15.75">
      <c r="A110" s="310"/>
      <c r="B110" s="384">
        <v>37</v>
      </c>
      <c r="C110" s="370">
        <v>9</v>
      </c>
      <c r="D110" s="325">
        <v>17</v>
      </c>
      <c r="E110" s="370">
        <v>9</v>
      </c>
      <c r="F110" s="325">
        <v>18</v>
      </c>
      <c r="G110" s="370">
        <v>9</v>
      </c>
      <c r="H110" s="325">
        <v>19</v>
      </c>
      <c r="I110" s="370">
        <v>9</v>
      </c>
      <c r="J110" s="325">
        <v>20</v>
      </c>
      <c r="K110" s="370">
        <v>9</v>
      </c>
      <c r="L110" s="325">
        <v>21</v>
      </c>
      <c r="M110" s="370">
        <v>9</v>
      </c>
      <c r="N110" s="325">
        <v>22</v>
      </c>
      <c r="O110" s="370">
        <v>9</v>
      </c>
      <c r="P110" s="325">
        <v>23</v>
      </c>
      <c r="Q110" s="370">
        <v>9</v>
      </c>
      <c r="R110" s="399">
        <v>24</v>
      </c>
      <c r="S110" s="400">
        <v>37</v>
      </c>
      <c r="T110" s="370">
        <v>9</v>
      </c>
      <c r="U110" s="325">
        <v>25</v>
      </c>
      <c r="V110" s="370">
        <v>9</v>
      </c>
      <c r="W110" s="325">
        <v>26</v>
      </c>
      <c r="X110" s="370">
        <v>9</v>
      </c>
      <c r="Y110" s="325">
        <v>27</v>
      </c>
      <c r="Z110" s="370">
        <v>9</v>
      </c>
      <c r="AA110" s="325">
        <v>28</v>
      </c>
      <c r="AB110" s="370">
        <v>9</v>
      </c>
      <c r="AC110" s="325">
        <v>29</v>
      </c>
      <c r="AD110" s="370">
        <v>9</v>
      </c>
      <c r="AE110" s="325">
        <v>30</v>
      </c>
      <c r="AF110" s="370">
        <v>9</v>
      </c>
      <c r="AG110" s="325">
        <v>31</v>
      </c>
      <c r="AH110" s="370">
        <v>9</v>
      </c>
      <c r="AI110" s="325">
        <v>32</v>
      </c>
      <c r="AJ110" s="401">
        <v>37</v>
      </c>
      <c r="AK110" s="310"/>
    </row>
    <row r="111" spans="1:37" ht="15.75">
      <c r="A111" s="310"/>
      <c r="B111" s="384">
        <v>38</v>
      </c>
      <c r="C111" s="370">
        <v>9</v>
      </c>
      <c r="D111" s="325">
        <v>32</v>
      </c>
      <c r="E111" s="370">
        <v>9</v>
      </c>
      <c r="F111" s="325">
        <v>33</v>
      </c>
      <c r="G111" s="370">
        <v>9</v>
      </c>
      <c r="H111" s="325">
        <v>34</v>
      </c>
      <c r="I111" s="370">
        <v>9</v>
      </c>
      <c r="J111" s="325">
        <v>35</v>
      </c>
      <c r="K111" s="370">
        <v>9</v>
      </c>
      <c r="L111" s="325">
        <v>36</v>
      </c>
      <c r="M111" s="370">
        <v>9</v>
      </c>
      <c r="N111" s="325">
        <v>37</v>
      </c>
      <c r="O111" s="370">
        <v>9</v>
      </c>
      <c r="P111" s="325">
        <v>38</v>
      </c>
      <c r="Q111" s="370">
        <v>9</v>
      </c>
      <c r="R111" s="399">
        <v>39</v>
      </c>
      <c r="S111" s="400">
        <v>38</v>
      </c>
      <c r="T111" s="370">
        <v>9</v>
      </c>
      <c r="U111" s="325">
        <v>40</v>
      </c>
      <c r="V111" s="370">
        <v>9</v>
      </c>
      <c r="W111" s="325">
        <v>41</v>
      </c>
      <c r="X111" s="370">
        <v>9</v>
      </c>
      <c r="Y111" s="325">
        <v>42</v>
      </c>
      <c r="Z111" s="370">
        <v>9</v>
      </c>
      <c r="AA111" s="325">
        <v>43</v>
      </c>
      <c r="AB111" s="370">
        <v>9</v>
      </c>
      <c r="AC111" s="325">
        <v>44</v>
      </c>
      <c r="AD111" s="370">
        <v>9</v>
      </c>
      <c r="AE111" s="325">
        <v>45</v>
      </c>
      <c r="AF111" s="370">
        <v>9</v>
      </c>
      <c r="AG111" s="325">
        <v>46</v>
      </c>
      <c r="AH111" s="370">
        <v>9</v>
      </c>
      <c r="AI111" s="325">
        <v>47</v>
      </c>
      <c r="AJ111" s="401">
        <v>38</v>
      </c>
      <c r="AK111" s="310"/>
    </row>
    <row r="112" spans="1:37" ht="15.75">
      <c r="A112" s="310"/>
      <c r="B112" s="384">
        <v>39</v>
      </c>
      <c r="C112" s="370">
        <v>9</v>
      </c>
      <c r="D112" s="325">
        <v>47</v>
      </c>
      <c r="E112" s="370">
        <v>9</v>
      </c>
      <c r="F112" s="325">
        <v>48</v>
      </c>
      <c r="G112" s="370">
        <v>9</v>
      </c>
      <c r="H112" s="325">
        <v>49</v>
      </c>
      <c r="I112" s="370">
        <v>9</v>
      </c>
      <c r="J112" s="325">
        <v>50</v>
      </c>
      <c r="K112" s="370">
        <v>9</v>
      </c>
      <c r="L112" s="325">
        <v>51</v>
      </c>
      <c r="M112" s="370">
        <v>9</v>
      </c>
      <c r="N112" s="325">
        <v>52</v>
      </c>
      <c r="O112" s="370">
        <v>9</v>
      </c>
      <c r="P112" s="325">
        <v>53</v>
      </c>
      <c r="Q112" s="370">
        <v>9</v>
      </c>
      <c r="R112" s="399">
        <v>54</v>
      </c>
      <c r="S112" s="400">
        <v>39</v>
      </c>
      <c r="T112" s="370">
        <v>9</v>
      </c>
      <c r="U112" s="325">
        <v>55</v>
      </c>
      <c r="V112" s="370">
        <v>9</v>
      </c>
      <c r="W112" s="325">
        <v>56</v>
      </c>
      <c r="X112" s="370">
        <v>9</v>
      </c>
      <c r="Y112" s="325">
        <v>57</v>
      </c>
      <c r="Z112" s="370">
        <v>9</v>
      </c>
      <c r="AA112" s="325">
        <v>58</v>
      </c>
      <c r="AB112" s="370">
        <v>9</v>
      </c>
      <c r="AC112" s="325">
        <v>59</v>
      </c>
      <c r="AD112" s="370">
        <v>10</v>
      </c>
      <c r="AE112" s="325">
        <v>0</v>
      </c>
      <c r="AF112" s="370">
        <v>10</v>
      </c>
      <c r="AG112" s="325">
        <v>1</v>
      </c>
      <c r="AH112" s="370">
        <v>10</v>
      </c>
      <c r="AI112" s="325">
        <v>2</v>
      </c>
      <c r="AJ112" s="401">
        <v>39</v>
      </c>
      <c r="AK112" s="310"/>
    </row>
    <row r="113" spans="1:37" ht="24" customHeight="1">
      <c r="A113" s="310"/>
      <c r="B113" s="384">
        <v>40</v>
      </c>
      <c r="C113" s="370">
        <v>10</v>
      </c>
      <c r="D113" s="325">
        <v>2</v>
      </c>
      <c r="E113" s="370">
        <v>10</v>
      </c>
      <c r="F113" s="325">
        <v>3</v>
      </c>
      <c r="G113" s="370">
        <v>10</v>
      </c>
      <c r="H113" s="325">
        <v>4</v>
      </c>
      <c r="I113" s="370">
        <v>10</v>
      </c>
      <c r="J113" s="325">
        <v>5</v>
      </c>
      <c r="K113" s="370">
        <v>10</v>
      </c>
      <c r="L113" s="325">
        <v>6</v>
      </c>
      <c r="M113" s="370">
        <v>10</v>
      </c>
      <c r="N113" s="325">
        <v>7</v>
      </c>
      <c r="O113" s="370">
        <v>10</v>
      </c>
      <c r="P113" s="325">
        <v>8</v>
      </c>
      <c r="Q113" s="370">
        <v>10</v>
      </c>
      <c r="R113" s="399">
        <v>9</v>
      </c>
      <c r="S113" s="400">
        <v>40</v>
      </c>
      <c r="T113" s="370">
        <v>10</v>
      </c>
      <c r="U113" s="325">
        <v>10</v>
      </c>
      <c r="V113" s="370">
        <v>10</v>
      </c>
      <c r="W113" s="325">
        <v>11</v>
      </c>
      <c r="X113" s="370">
        <v>10</v>
      </c>
      <c r="Y113" s="325">
        <v>12</v>
      </c>
      <c r="Z113" s="370">
        <v>10</v>
      </c>
      <c r="AA113" s="325">
        <v>13</v>
      </c>
      <c r="AB113" s="370">
        <v>10</v>
      </c>
      <c r="AC113" s="325">
        <v>14</v>
      </c>
      <c r="AD113" s="370">
        <v>10</v>
      </c>
      <c r="AE113" s="325">
        <v>15</v>
      </c>
      <c r="AF113" s="370">
        <v>10</v>
      </c>
      <c r="AG113" s="325">
        <v>16</v>
      </c>
      <c r="AH113" s="370">
        <v>10</v>
      </c>
      <c r="AI113" s="325">
        <v>17</v>
      </c>
      <c r="AJ113" s="401">
        <v>40</v>
      </c>
      <c r="AK113" s="310"/>
    </row>
    <row r="114" spans="1:37" ht="15.75">
      <c r="A114" s="310"/>
      <c r="B114" s="384">
        <v>41</v>
      </c>
      <c r="C114" s="370">
        <v>10</v>
      </c>
      <c r="D114" s="325">
        <v>17</v>
      </c>
      <c r="E114" s="370">
        <v>10</v>
      </c>
      <c r="F114" s="325">
        <v>18</v>
      </c>
      <c r="G114" s="370">
        <v>10</v>
      </c>
      <c r="H114" s="325">
        <v>19</v>
      </c>
      <c r="I114" s="370">
        <v>10</v>
      </c>
      <c r="J114" s="325">
        <v>20</v>
      </c>
      <c r="K114" s="370">
        <v>10</v>
      </c>
      <c r="L114" s="325">
        <v>21</v>
      </c>
      <c r="M114" s="370">
        <v>10</v>
      </c>
      <c r="N114" s="325">
        <v>22</v>
      </c>
      <c r="O114" s="370">
        <v>10</v>
      </c>
      <c r="P114" s="325">
        <v>23</v>
      </c>
      <c r="Q114" s="370">
        <v>10</v>
      </c>
      <c r="R114" s="399">
        <v>24</v>
      </c>
      <c r="S114" s="400">
        <v>41</v>
      </c>
      <c r="T114" s="370">
        <v>10</v>
      </c>
      <c r="U114" s="325">
        <v>25</v>
      </c>
      <c r="V114" s="370">
        <v>10</v>
      </c>
      <c r="W114" s="325">
        <v>26</v>
      </c>
      <c r="X114" s="370">
        <v>10</v>
      </c>
      <c r="Y114" s="325">
        <v>27</v>
      </c>
      <c r="Z114" s="370">
        <v>10</v>
      </c>
      <c r="AA114" s="325">
        <v>28</v>
      </c>
      <c r="AB114" s="370">
        <v>10</v>
      </c>
      <c r="AC114" s="325">
        <v>29</v>
      </c>
      <c r="AD114" s="370">
        <v>10</v>
      </c>
      <c r="AE114" s="325">
        <v>30</v>
      </c>
      <c r="AF114" s="370">
        <v>10</v>
      </c>
      <c r="AG114" s="325">
        <v>31</v>
      </c>
      <c r="AH114" s="370">
        <v>10</v>
      </c>
      <c r="AI114" s="325">
        <v>32</v>
      </c>
      <c r="AJ114" s="401">
        <v>41</v>
      </c>
      <c r="AK114" s="310"/>
    </row>
    <row r="115" spans="1:37" ht="15.75">
      <c r="A115" s="310"/>
      <c r="B115" s="384">
        <v>42</v>
      </c>
      <c r="C115" s="370">
        <v>10</v>
      </c>
      <c r="D115" s="325">
        <v>32</v>
      </c>
      <c r="E115" s="370">
        <v>10</v>
      </c>
      <c r="F115" s="325">
        <v>33</v>
      </c>
      <c r="G115" s="370">
        <v>10</v>
      </c>
      <c r="H115" s="325">
        <v>34</v>
      </c>
      <c r="I115" s="370">
        <v>10</v>
      </c>
      <c r="J115" s="325">
        <v>35</v>
      </c>
      <c r="K115" s="370">
        <v>10</v>
      </c>
      <c r="L115" s="325">
        <v>36</v>
      </c>
      <c r="M115" s="370">
        <v>10</v>
      </c>
      <c r="N115" s="325">
        <v>37</v>
      </c>
      <c r="O115" s="370">
        <v>10</v>
      </c>
      <c r="P115" s="325">
        <v>38</v>
      </c>
      <c r="Q115" s="370">
        <v>10</v>
      </c>
      <c r="R115" s="399">
        <v>39</v>
      </c>
      <c r="S115" s="400">
        <v>42</v>
      </c>
      <c r="T115" s="370">
        <v>10</v>
      </c>
      <c r="U115" s="325">
        <v>40</v>
      </c>
      <c r="V115" s="370">
        <v>10</v>
      </c>
      <c r="W115" s="325">
        <v>41</v>
      </c>
      <c r="X115" s="370">
        <v>10</v>
      </c>
      <c r="Y115" s="325">
        <v>42</v>
      </c>
      <c r="Z115" s="370">
        <v>10</v>
      </c>
      <c r="AA115" s="325">
        <v>43</v>
      </c>
      <c r="AB115" s="370">
        <v>10</v>
      </c>
      <c r="AC115" s="325">
        <v>44</v>
      </c>
      <c r="AD115" s="370">
        <v>10</v>
      </c>
      <c r="AE115" s="325">
        <v>45</v>
      </c>
      <c r="AF115" s="370">
        <v>10</v>
      </c>
      <c r="AG115" s="325">
        <v>46</v>
      </c>
      <c r="AH115" s="370">
        <v>10</v>
      </c>
      <c r="AI115" s="325">
        <v>47</v>
      </c>
      <c r="AJ115" s="401">
        <v>42</v>
      </c>
      <c r="AK115" s="310"/>
    </row>
    <row r="116" spans="1:37" ht="15.75">
      <c r="A116" s="310"/>
      <c r="B116" s="384">
        <v>43</v>
      </c>
      <c r="C116" s="370">
        <v>10</v>
      </c>
      <c r="D116" s="325">
        <v>47</v>
      </c>
      <c r="E116" s="370">
        <v>10</v>
      </c>
      <c r="F116" s="325">
        <v>48</v>
      </c>
      <c r="G116" s="370">
        <v>10</v>
      </c>
      <c r="H116" s="325">
        <v>49</v>
      </c>
      <c r="I116" s="370">
        <v>10</v>
      </c>
      <c r="J116" s="325">
        <v>50</v>
      </c>
      <c r="K116" s="370">
        <v>10</v>
      </c>
      <c r="L116" s="325">
        <v>51</v>
      </c>
      <c r="M116" s="370">
        <v>10</v>
      </c>
      <c r="N116" s="325">
        <v>52</v>
      </c>
      <c r="O116" s="370">
        <v>10</v>
      </c>
      <c r="P116" s="325">
        <v>53</v>
      </c>
      <c r="Q116" s="370">
        <v>10</v>
      </c>
      <c r="R116" s="399">
        <v>54</v>
      </c>
      <c r="S116" s="400">
        <v>43</v>
      </c>
      <c r="T116" s="370">
        <v>10</v>
      </c>
      <c r="U116" s="325">
        <v>55</v>
      </c>
      <c r="V116" s="370">
        <v>10</v>
      </c>
      <c r="W116" s="325">
        <v>56</v>
      </c>
      <c r="X116" s="370">
        <v>10</v>
      </c>
      <c r="Y116" s="325">
        <v>57</v>
      </c>
      <c r="Z116" s="370">
        <v>10</v>
      </c>
      <c r="AA116" s="325">
        <v>58</v>
      </c>
      <c r="AB116" s="370">
        <v>10</v>
      </c>
      <c r="AC116" s="325">
        <v>59</v>
      </c>
      <c r="AD116" s="370">
        <v>11</v>
      </c>
      <c r="AE116" s="325">
        <v>0</v>
      </c>
      <c r="AF116" s="370">
        <v>11</v>
      </c>
      <c r="AG116" s="325">
        <v>1</v>
      </c>
      <c r="AH116" s="370">
        <v>11</v>
      </c>
      <c r="AI116" s="325">
        <v>2</v>
      </c>
      <c r="AJ116" s="401">
        <v>43</v>
      </c>
      <c r="AK116" s="310"/>
    </row>
    <row r="117" spans="1:37" ht="15.75">
      <c r="A117" s="310"/>
      <c r="B117" s="384">
        <v>44</v>
      </c>
      <c r="C117" s="370">
        <v>11</v>
      </c>
      <c r="D117" s="325">
        <v>2</v>
      </c>
      <c r="E117" s="370">
        <v>11</v>
      </c>
      <c r="F117" s="325">
        <v>3</v>
      </c>
      <c r="G117" s="370">
        <v>11</v>
      </c>
      <c r="H117" s="325">
        <v>4</v>
      </c>
      <c r="I117" s="370">
        <v>11</v>
      </c>
      <c r="J117" s="325">
        <v>5</v>
      </c>
      <c r="K117" s="370">
        <v>11</v>
      </c>
      <c r="L117" s="325">
        <v>6</v>
      </c>
      <c r="M117" s="370">
        <v>11</v>
      </c>
      <c r="N117" s="325">
        <v>7</v>
      </c>
      <c r="O117" s="370">
        <v>11</v>
      </c>
      <c r="P117" s="325">
        <v>8</v>
      </c>
      <c r="Q117" s="370">
        <v>11</v>
      </c>
      <c r="R117" s="399">
        <v>9</v>
      </c>
      <c r="S117" s="400">
        <v>44</v>
      </c>
      <c r="T117" s="370">
        <v>11</v>
      </c>
      <c r="U117" s="325">
        <v>10</v>
      </c>
      <c r="V117" s="370">
        <v>11</v>
      </c>
      <c r="W117" s="325">
        <v>11</v>
      </c>
      <c r="X117" s="370">
        <v>11</v>
      </c>
      <c r="Y117" s="325">
        <v>12</v>
      </c>
      <c r="Z117" s="370">
        <v>11</v>
      </c>
      <c r="AA117" s="325">
        <v>13</v>
      </c>
      <c r="AB117" s="370">
        <v>11</v>
      </c>
      <c r="AC117" s="325">
        <v>14</v>
      </c>
      <c r="AD117" s="370">
        <v>11</v>
      </c>
      <c r="AE117" s="325">
        <v>15</v>
      </c>
      <c r="AF117" s="370">
        <v>11</v>
      </c>
      <c r="AG117" s="325">
        <v>16</v>
      </c>
      <c r="AH117" s="370">
        <v>11</v>
      </c>
      <c r="AI117" s="325">
        <v>17</v>
      </c>
      <c r="AJ117" s="401">
        <v>44</v>
      </c>
      <c r="AK117" s="310"/>
    </row>
    <row r="118" spans="1:37" ht="24" customHeight="1">
      <c r="A118" s="310"/>
      <c r="B118" s="384">
        <v>45</v>
      </c>
      <c r="C118" s="370">
        <v>11</v>
      </c>
      <c r="D118" s="325">
        <v>17</v>
      </c>
      <c r="E118" s="370">
        <v>11</v>
      </c>
      <c r="F118" s="325">
        <v>18</v>
      </c>
      <c r="G118" s="370">
        <v>11</v>
      </c>
      <c r="H118" s="325">
        <v>19</v>
      </c>
      <c r="I118" s="370">
        <v>11</v>
      </c>
      <c r="J118" s="325">
        <v>20</v>
      </c>
      <c r="K118" s="370">
        <v>11</v>
      </c>
      <c r="L118" s="325">
        <v>21</v>
      </c>
      <c r="M118" s="370">
        <v>11</v>
      </c>
      <c r="N118" s="325">
        <v>22</v>
      </c>
      <c r="O118" s="370">
        <v>11</v>
      </c>
      <c r="P118" s="325">
        <v>23</v>
      </c>
      <c r="Q118" s="370">
        <v>11</v>
      </c>
      <c r="R118" s="399">
        <v>24</v>
      </c>
      <c r="S118" s="400">
        <v>45</v>
      </c>
      <c r="T118" s="370">
        <v>11</v>
      </c>
      <c r="U118" s="325">
        <v>25</v>
      </c>
      <c r="V118" s="370">
        <v>11</v>
      </c>
      <c r="W118" s="325">
        <v>26</v>
      </c>
      <c r="X118" s="370">
        <v>11</v>
      </c>
      <c r="Y118" s="325">
        <v>27</v>
      </c>
      <c r="Z118" s="370">
        <v>11</v>
      </c>
      <c r="AA118" s="325">
        <v>28</v>
      </c>
      <c r="AB118" s="370">
        <v>11</v>
      </c>
      <c r="AC118" s="325">
        <v>29</v>
      </c>
      <c r="AD118" s="370">
        <v>11</v>
      </c>
      <c r="AE118" s="325">
        <v>30</v>
      </c>
      <c r="AF118" s="370">
        <v>11</v>
      </c>
      <c r="AG118" s="325">
        <v>31</v>
      </c>
      <c r="AH118" s="370">
        <v>11</v>
      </c>
      <c r="AI118" s="325">
        <v>32</v>
      </c>
      <c r="AJ118" s="401">
        <v>45</v>
      </c>
      <c r="AK118" s="310"/>
    </row>
    <row r="119" spans="1:37" ht="15.75">
      <c r="A119" s="310"/>
      <c r="B119" s="384">
        <v>46</v>
      </c>
      <c r="C119" s="370">
        <v>11</v>
      </c>
      <c r="D119" s="325">
        <v>32</v>
      </c>
      <c r="E119" s="370">
        <v>11</v>
      </c>
      <c r="F119" s="325">
        <v>33</v>
      </c>
      <c r="G119" s="370">
        <v>11</v>
      </c>
      <c r="H119" s="325">
        <v>34</v>
      </c>
      <c r="I119" s="370">
        <v>11</v>
      </c>
      <c r="J119" s="325">
        <v>35</v>
      </c>
      <c r="K119" s="370">
        <v>11</v>
      </c>
      <c r="L119" s="325">
        <v>36</v>
      </c>
      <c r="M119" s="370">
        <v>11</v>
      </c>
      <c r="N119" s="325">
        <v>37</v>
      </c>
      <c r="O119" s="370">
        <v>11</v>
      </c>
      <c r="P119" s="325">
        <v>38</v>
      </c>
      <c r="Q119" s="370">
        <v>11</v>
      </c>
      <c r="R119" s="399">
        <v>39</v>
      </c>
      <c r="S119" s="400">
        <v>46</v>
      </c>
      <c r="T119" s="370">
        <v>11</v>
      </c>
      <c r="U119" s="325">
        <v>40</v>
      </c>
      <c r="V119" s="370">
        <v>11</v>
      </c>
      <c r="W119" s="325">
        <v>41</v>
      </c>
      <c r="X119" s="370">
        <v>11</v>
      </c>
      <c r="Y119" s="325">
        <v>42</v>
      </c>
      <c r="Z119" s="370">
        <v>11</v>
      </c>
      <c r="AA119" s="325">
        <v>43</v>
      </c>
      <c r="AB119" s="370">
        <v>11</v>
      </c>
      <c r="AC119" s="325">
        <v>44</v>
      </c>
      <c r="AD119" s="370">
        <v>11</v>
      </c>
      <c r="AE119" s="325">
        <v>45</v>
      </c>
      <c r="AF119" s="370">
        <v>11</v>
      </c>
      <c r="AG119" s="325">
        <v>46</v>
      </c>
      <c r="AH119" s="370">
        <v>11</v>
      </c>
      <c r="AI119" s="325">
        <v>47</v>
      </c>
      <c r="AJ119" s="401">
        <v>46</v>
      </c>
      <c r="AK119" s="310"/>
    </row>
    <row r="120" spans="1:37" ht="15.75">
      <c r="A120" s="310"/>
      <c r="B120" s="384">
        <v>47</v>
      </c>
      <c r="C120" s="370">
        <v>11</v>
      </c>
      <c r="D120" s="325">
        <v>47</v>
      </c>
      <c r="E120" s="370">
        <v>11</v>
      </c>
      <c r="F120" s="325">
        <v>48</v>
      </c>
      <c r="G120" s="370">
        <v>11</v>
      </c>
      <c r="H120" s="325">
        <v>49</v>
      </c>
      <c r="I120" s="370">
        <v>11</v>
      </c>
      <c r="J120" s="325">
        <v>50</v>
      </c>
      <c r="K120" s="370">
        <v>11</v>
      </c>
      <c r="L120" s="325">
        <v>51</v>
      </c>
      <c r="M120" s="370">
        <v>11</v>
      </c>
      <c r="N120" s="325">
        <v>52</v>
      </c>
      <c r="O120" s="370">
        <v>11</v>
      </c>
      <c r="P120" s="325">
        <v>53</v>
      </c>
      <c r="Q120" s="370">
        <v>11</v>
      </c>
      <c r="R120" s="399">
        <v>54</v>
      </c>
      <c r="S120" s="400">
        <v>47</v>
      </c>
      <c r="T120" s="370">
        <v>11</v>
      </c>
      <c r="U120" s="325">
        <v>55</v>
      </c>
      <c r="V120" s="370">
        <v>11</v>
      </c>
      <c r="W120" s="325">
        <v>56</v>
      </c>
      <c r="X120" s="370">
        <v>11</v>
      </c>
      <c r="Y120" s="325">
        <v>57</v>
      </c>
      <c r="Z120" s="370">
        <v>11</v>
      </c>
      <c r="AA120" s="325">
        <v>58</v>
      </c>
      <c r="AB120" s="370">
        <v>11</v>
      </c>
      <c r="AC120" s="325">
        <v>59</v>
      </c>
      <c r="AD120" s="370">
        <v>12</v>
      </c>
      <c r="AE120" s="325">
        <v>0</v>
      </c>
      <c r="AF120" s="370">
        <v>12</v>
      </c>
      <c r="AG120" s="325">
        <v>1</v>
      </c>
      <c r="AH120" s="370">
        <v>12</v>
      </c>
      <c r="AI120" s="325">
        <v>2</v>
      </c>
      <c r="AJ120" s="401">
        <v>47</v>
      </c>
      <c r="AK120" s="310"/>
    </row>
    <row r="121" spans="1:37" ht="15.75">
      <c r="A121" s="310"/>
      <c r="B121" s="384">
        <v>48</v>
      </c>
      <c r="C121" s="370">
        <v>12</v>
      </c>
      <c r="D121" s="325">
        <v>2</v>
      </c>
      <c r="E121" s="370">
        <v>12</v>
      </c>
      <c r="F121" s="325">
        <v>3</v>
      </c>
      <c r="G121" s="370">
        <v>12</v>
      </c>
      <c r="H121" s="325">
        <v>4</v>
      </c>
      <c r="I121" s="370">
        <v>12</v>
      </c>
      <c r="J121" s="325">
        <v>5</v>
      </c>
      <c r="K121" s="370">
        <v>12</v>
      </c>
      <c r="L121" s="325">
        <v>6</v>
      </c>
      <c r="M121" s="370">
        <v>12</v>
      </c>
      <c r="N121" s="325">
        <v>7</v>
      </c>
      <c r="O121" s="370">
        <v>12</v>
      </c>
      <c r="P121" s="325">
        <v>8</v>
      </c>
      <c r="Q121" s="370">
        <v>12</v>
      </c>
      <c r="R121" s="399">
        <v>9</v>
      </c>
      <c r="S121" s="400">
        <v>48</v>
      </c>
      <c r="T121" s="370">
        <v>12</v>
      </c>
      <c r="U121" s="325">
        <v>10</v>
      </c>
      <c r="V121" s="370">
        <v>12</v>
      </c>
      <c r="W121" s="325">
        <v>11</v>
      </c>
      <c r="X121" s="370">
        <v>12</v>
      </c>
      <c r="Y121" s="325">
        <v>12</v>
      </c>
      <c r="Z121" s="370">
        <v>12</v>
      </c>
      <c r="AA121" s="325">
        <v>13</v>
      </c>
      <c r="AB121" s="370">
        <v>12</v>
      </c>
      <c r="AC121" s="325">
        <v>14</v>
      </c>
      <c r="AD121" s="370">
        <v>12</v>
      </c>
      <c r="AE121" s="325">
        <v>15</v>
      </c>
      <c r="AF121" s="370">
        <v>12</v>
      </c>
      <c r="AG121" s="325">
        <v>16</v>
      </c>
      <c r="AH121" s="370">
        <v>12</v>
      </c>
      <c r="AI121" s="325">
        <v>17</v>
      </c>
      <c r="AJ121" s="401">
        <v>48</v>
      </c>
      <c r="AK121" s="310"/>
    </row>
    <row r="122" spans="1:37" ht="15.75">
      <c r="A122" s="310"/>
      <c r="B122" s="384">
        <v>49</v>
      </c>
      <c r="C122" s="370">
        <v>12</v>
      </c>
      <c r="D122" s="325">
        <v>17</v>
      </c>
      <c r="E122" s="370">
        <v>12</v>
      </c>
      <c r="F122" s="325">
        <v>18</v>
      </c>
      <c r="G122" s="370">
        <v>12</v>
      </c>
      <c r="H122" s="325">
        <v>19</v>
      </c>
      <c r="I122" s="370">
        <v>12</v>
      </c>
      <c r="J122" s="325">
        <v>20</v>
      </c>
      <c r="K122" s="370">
        <v>12</v>
      </c>
      <c r="L122" s="325">
        <v>21</v>
      </c>
      <c r="M122" s="370">
        <v>12</v>
      </c>
      <c r="N122" s="325">
        <v>22</v>
      </c>
      <c r="O122" s="370">
        <v>12</v>
      </c>
      <c r="P122" s="325">
        <v>23</v>
      </c>
      <c r="Q122" s="370">
        <v>12</v>
      </c>
      <c r="R122" s="399">
        <v>24</v>
      </c>
      <c r="S122" s="400">
        <v>49</v>
      </c>
      <c r="T122" s="370">
        <v>12</v>
      </c>
      <c r="U122" s="325">
        <v>25</v>
      </c>
      <c r="V122" s="370">
        <v>12</v>
      </c>
      <c r="W122" s="325">
        <v>26</v>
      </c>
      <c r="X122" s="370">
        <v>12</v>
      </c>
      <c r="Y122" s="325">
        <v>27</v>
      </c>
      <c r="Z122" s="370">
        <v>12</v>
      </c>
      <c r="AA122" s="325">
        <v>28</v>
      </c>
      <c r="AB122" s="370">
        <v>12</v>
      </c>
      <c r="AC122" s="325">
        <v>29</v>
      </c>
      <c r="AD122" s="370">
        <v>12</v>
      </c>
      <c r="AE122" s="325">
        <v>30</v>
      </c>
      <c r="AF122" s="370">
        <v>12</v>
      </c>
      <c r="AG122" s="325">
        <v>31</v>
      </c>
      <c r="AH122" s="370">
        <v>12</v>
      </c>
      <c r="AI122" s="325">
        <v>32</v>
      </c>
      <c r="AJ122" s="401">
        <v>49</v>
      </c>
      <c r="AK122" s="310"/>
    </row>
    <row r="123" spans="1:37" ht="24" customHeight="1">
      <c r="A123" s="310"/>
      <c r="B123" s="384">
        <v>50</v>
      </c>
      <c r="C123" s="370">
        <v>12</v>
      </c>
      <c r="D123" s="325">
        <v>32</v>
      </c>
      <c r="E123" s="370">
        <v>12</v>
      </c>
      <c r="F123" s="325">
        <v>33</v>
      </c>
      <c r="G123" s="370">
        <v>12</v>
      </c>
      <c r="H123" s="325">
        <v>34</v>
      </c>
      <c r="I123" s="370">
        <v>12</v>
      </c>
      <c r="J123" s="325">
        <v>35</v>
      </c>
      <c r="K123" s="370">
        <v>12</v>
      </c>
      <c r="L123" s="325">
        <v>36</v>
      </c>
      <c r="M123" s="370">
        <v>12</v>
      </c>
      <c r="N123" s="325">
        <v>37</v>
      </c>
      <c r="O123" s="370">
        <v>12</v>
      </c>
      <c r="P123" s="325">
        <v>38</v>
      </c>
      <c r="Q123" s="370">
        <v>12</v>
      </c>
      <c r="R123" s="399">
        <v>39</v>
      </c>
      <c r="S123" s="400">
        <v>50</v>
      </c>
      <c r="T123" s="370">
        <v>12</v>
      </c>
      <c r="U123" s="325">
        <v>40</v>
      </c>
      <c r="V123" s="370">
        <v>12</v>
      </c>
      <c r="W123" s="325">
        <v>41</v>
      </c>
      <c r="X123" s="370">
        <v>12</v>
      </c>
      <c r="Y123" s="325">
        <v>42</v>
      </c>
      <c r="Z123" s="370">
        <v>12</v>
      </c>
      <c r="AA123" s="325">
        <v>43</v>
      </c>
      <c r="AB123" s="370">
        <v>12</v>
      </c>
      <c r="AC123" s="325">
        <v>44</v>
      </c>
      <c r="AD123" s="370">
        <v>12</v>
      </c>
      <c r="AE123" s="325">
        <v>45</v>
      </c>
      <c r="AF123" s="370">
        <v>12</v>
      </c>
      <c r="AG123" s="325">
        <v>46</v>
      </c>
      <c r="AH123" s="370">
        <v>12</v>
      </c>
      <c r="AI123" s="325">
        <v>47</v>
      </c>
      <c r="AJ123" s="401">
        <v>50</v>
      </c>
      <c r="AK123" s="310"/>
    </row>
    <row r="124" spans="1:37" ht="15.75">
      <c r="A124" s="310"/>
      <c r="B124" s="384">
        <v>51</v>
      </c>
      <c r="C124" s="370">
        <v>12</v>
      </c>
      <c r="D124" s="325">
        <v>47</v>
      </c>
      <c r="E124" s="370">
        <v>12</v>
      </c>
      <c r="F124" s="325">
        <v>48</v>
      </c>
      <c r="G124" s="370">
        <v>12</v>
      </c>
      <c r="H124" s="325">
        <v>49</v>
      </c>
      <c r="I124" s="370">
        <v>12</v>
      </c>
      <c r="J124" s="325">
        <v>50</v>
      </c>
      <c r="K124" s="370">
        <v>12</v>
      </c>
      <c r="L124" s="325">
        <v>51</v>
      </c>
      <c r="M124" s="370">
        <v>12</v>
      </c>
      <c r="N124" s="325">
        <v>52</v>
      </c>
      <c r="O124" s="370">
        <v>12</v>
      </c>
      <c r="P124" s="325">
        <v>53</v>
      </c>
      <c r="Q124" s="370">
        <v>12</v>
      </c>
      <c r="R124" s="399">
        <v>54</v>
      </c>
      <c r="S124" s="400">
        <v>51</v>
      </c>
      <c r="T124" s="370">
        <v>12</v>
      </c>
      <c r="U124" s="325">
        <v>55</v>
      </c>
      <c r="V124" s="370">
        <v>12</v>
      </c>
      <c r="W124" s="325">
        <v>56</v>
      </c>
      <c r="X124" s="370">
        <v>12</v>
      </c>
      <c r="Y124" s="325">
        <v>57</v>
      </c>
      <c r="Z124" s="370">
        <v>12</v>
      </c>
      <c r="AA124" s="325">
        <v>58</v>
      </c>
      <c r="AB124" s="370">
        <v>12</v>
      </c>
      <c r="AC124" s="325">
        <v>59</v>
      </c>
      <c r="AD124" s="370">
        <v>13</v>
      </c>
      <c r="AE124" s="325">
        <v>0</v>
      </c>
      <c r="AF124" s="370">
        <v>13</v>
      </c>
      <c r="AG124" s="325">
        <v>1</v>
      </c>
      <c r="AH124" s="370">
        <v>13</v>
      </c>
      <c r="AI124" s="325">
        <v>2</v>
      </c>
      <c r="AJ124" s="401">
        <v>51</v>
      </c>
      <c r="AK124" s="310"/>
    </row>
    <row r="125" spans="1:37" ht="15.75">
      <c r="A125" s="310"/>
      <c r="B125" s="384">
        <v>52</v>
      </c>
      <c r="C125" s="370">
        <v>13</v>
      </c>
      <c r="D125" s="325">
        <v>2</v>
      </c>
      <c r="E125" s="370">
        <v>13</v>
      </c>
      <c r="F125" s="325">
        <v>3</v>
      </c>
      <c r="G125" s="370">
        <v>13</v>
      </c>
      <c r="H125" s="325">
        <v>4</v>
      </c>
      <c r="I125" s="370">
        <v>13</v>
      </c>
      <c r="J125" s="325">
        <v>5</v>
      </c>
      <c r="K125" s="370">
        <v>13</v>
      </c>
      <c r="L125" s="325">
        <v>6</v>
      </c>
      <c r="M125" s="370">
        <v>13</v>
      </c>
      <c r="N125" s="325">
        <v>7</v>
      </c>
      <c r="O125" s="370">
        <v>13</v>
      </c>
      <c r="P125" s="325">
        <v>8</v>
      </c>
      <c r="Q125" s="370">
        <v>13</v>
      </c>
      <c r="R125" s="399">
        <v>9</v>
      </c>
      <c r="S125" s="400">
        <v>52</v>
      </c>
      <c r="T125" s="370">
        <v>13</v>
      </c>
      <c r="U125" s="325">
        <v>10</v>
      </c>
      <c r="V125" s="370">
        <v>13</v>
      </c>
      <c r="W125" s="325">
        <v>11</v>
      </c>
      <c r="X125" s="370">
        <v>13</v>
      </c>
      <c r="Y125" s="325">
        <v>12</v>
      </c>
      <c r="Z125" s="370">
        <v>13</v>
      </c>
      <c r="AA125" s="325">
        <v>13</v>
      </c>
      <c r="AB125" s="370">
        <v>13</v>
      </c>
      <c r="AC125" s="325">
        <v>14</v>
      </c>
      <c r="AD125" s="370">
        <v>13</v>
      </c>
      <c r="AE125" s="325">
        <v>15</v>
      </c>
      <c r="AF125" s="370">
        <v>13</v>
      </c>
      <c r="AG125" s="325">
        <v>16</v>
      </c>
      <c r="AH125" s="370">
        <v>13</v>
      </c>
      <c r="AI125" s="325">
        <v>17</v>
      </c>
      <c r="AJ125" s="401">
        <v>52</v>
      </c>
      <c r="AK125" s="310"/>
    </row>
    <row r="126" spans="1:37" ht="15.75">
      <c r="A126" s="310"/>
      <c r="B126" s="384">
        <v>53</v>
      </c>
      <c r="C126" s="370">
        <v>13</v>
      </c>
      <c r="D126" s="325">
        <v>17</v>
      </c>
      <c r="E126" s="370">
        <v>13</v>
      </c>
      <c r="F126" s="325">
        <v>18</v>
      </c>
      <c r="G126" s="370">
        <v>13</v>
      </c>
      <c r="H126" s="325">
        <v>19</v>
      </c>
      <c r="I126" s="370">
        <v>13</v>
      </c>
      <c r="J126" s="325">
        <v>20</v>
      </c>
      <c r="K126" s="370">
        <v>13</v>
      </c>
      <c r="L126" s="325">
        <v>21</v>
      </c>
      <c r="M126" s="370">
        <v>13</v>
      </c>
      <c r="N126" s="325">
        <v>22</v>
      </c>
      <c r="O126" s="370">
        <v>13</v>
      </c>
      <c r="P126" s="325">
        <v>23</v>
      </c>
      <c r="Q126" s="370">
        <v>13</v>
      </c>
      <c r="R126" s="399">
        <v>24</v>
      </c>
      <c r="S126" s="400">
        <v>53</v>
      </c>
      <c r="T126" s="370">
        <v>13</v>
      </c>
      <c r="U126" s="325">
        <v>25</v>
      </c>
      <c r="V126" s="370">
        <v>13</v>
      </c>
      <c r="W126" s="325">
        <v>26</v>
      </c>
      <c r="X126" s="370">
        <v>13</v>
      </c>
      <c r="Y126" s="325">
        <v>27</v>
      </c>
      <c r="Z126" s="370">
        <v>13</v>
      </c>
      <c r="AA126" s="325">
        <v>28</v>
      </c>
      <c r="AB126" s="370">
        <v>13</v>
      </c>
      <c r="AC126" s="325">
        <v>29</v>
      </c>
      <c r="AD126" s="370">
        <v>13</v>
      </c>
      <c r="AE126" s="325">
        <v>30</v>
      </c>
      <c r="AF126" s="370">
        <v>13</v>
      </c>
      <c r="AG126" s="325">
        <v>31</v>
      </c>
      <c r="AH126" s="370">
        <v>13</v>
      </c>
      <c r="AI126" s="325">
        <v>32</v>
      </c>
      <c r="AJ126" s="401">
        <v>53</v>
      </c>
      <c r="AK126" s="310"/>
    </row>
    <row r="127" spans="1:37" ht="15.75">
      <c r="A127" s="310"/>
      <c r="B127" s="384">
        <v>54</v>
      </c>
      <c r="C127" s="370">
        <v>13</v>
      </c>
      <c r="D127" s="325">
        <v>32</v>
      </c>
      <c r="E127" s="370">
        <v>13</v>
      </c>
      <c r="F127" s="325">
        <v>33</v>
      </c>
      <c r="G127" s="370">
        <v>13</v>
      </c>
      <c r="H127" s="325">
        <v>34</v>
      </c>
      <c r="I127" s="370">
        <v>13</v>
      </c>
      <c r="J127" s="325">
        <v>35</v>
      </c>
      <c r="K127" s="370">
        <v>13</v>
      </c>
      <c r="L127" s="325">
        <v>36</v>
      </c>
      <c r="M127" s="370">
        <v>13</v>
      </c>
      <c r="N127" s="325">
        <v>37</v>
      </c>
      <c r="O127" s="370">
        <v>13</v>
      </c>
      <c r="P127" s="325">
        <v>38</v>
      </c>
      <c r="Q127" s="370">
        <v>13</v>
      </c>
      <c r="R127" s="399">
        <v>39</v>
      </c>
      <c r="S127" s="400">
        <v>54</v>
      </c>
      <c r="T127" s="370">
        <v>13</v>
      </c>
      <c r="U127" s="325">
        <v>40</v>
      </c>
      <c r="V127" s="370">
        <v>13</v>
      </c>
      <c r="W127" s="325">
        <v>41</v>
      </c>
      <c r="X127" s="370">
        <v>13</v>
      </c>
      <c r="Y127" s="325">
        <v>42</v>
      </c>
      <c r="Z127" s="370">
        <v>13</v>
      </c>
      <c r="AA127" s="325">
        <v>43</v>
      </c>
      <c r="AB127" s="370">
        <v>13</v>
      </c>
      <c r="AC127" s="325">
        <v>44</v>
      </c>
      <c r="AD127" s="370">
        <v>13</v>
      </c>
      <c r="AE127" s="325">
        <v>45</v>
      </c>
      <c r="AF127" s="370">
        <v>13</v>
      </c>
      <c r="AG127" s="325">
        <v>46</v>
      </c>
      <c r="AH127" s="370">
        <v>13</v>
      </c>
      <c r="AI127" s="325">
        <v>47</v>
      </c>
      <c r="AJ127" s="401">
        <v>54</v>
      </c>
      <c r="AK127" s="310"/>
    </row>
    <row r="128" spans="1:37" ht="24" customHeight="1">
      <c r="A128" s="310"/>
      <c r="B128" s="384">
        <v>55</v>
      </c>
      <c r="C128" s="370">
        <v>13</v>
      </c>
      <c r="D128" s="325">
        <v>47</v>
      </c>
      <c r="E128" s="370">
        <v>13</v>
      </c>
      <c r="F128" s="325">
        <v>48</v>
      </c>
      <c r="G128" s="370">
        <v>13</v>
      </c>
      <c r="H128" s="325">
        <v>49</v>
      </c>
      <c r="I128" s="370">
        <v>13</v>
      </c>
      <c r="J128" s="325">
        <v>50</v>
      </c>
      <c r="K128" s="370">
        <v>13</v>
      </c>
      <c r="L128" s="325">
        <v>51</v>
      </c>
      <c r="M128" s="370">
        <v>13</v>
      </c>
      <c r="N128" s="325">
        <v>52</v>
      </c>
      <c r="O128" s="370">
        <v>13</v>
      </c>
      <c r="P128" s="325">
        <v>53</v>
      </c>
      <c r="Q128" s="370">
        <v>13</v>
      </c>
      <c r="R128" s="399">
        <v>54</v>
      </c>
      <c r="S128" s="400">
        <v>55</v>
      </c>
      <c r="T128" s="370">
        <v>13</v>
      </c>
      <c r="U128" s="325">
        <v>55</v>
      </c>
      <c r="V128" s="370">
        <v>13</v>
      </c>
      <c r="W128" s="325">
        <v>56</v>
      </c>
      <c r="X128" s="370">
        <v>13</v>
      </c>
      <c r="Y128" s="325">
        <v>57</v>
      </c>
      <c r="Z128" s="370">
        <v>13</v>
      </c>
      <c r="AA128" s="325">
        <v>58</v>
      </c>
      <c r="AB128" s="370">
        <v>13</v>
      </c>
      <c r="AC128" s="325">
        <v>59</v>
      </c>
      <c r="AD128" s="370">
        <v>14</v>
      </c>
      <c r="AE128" s="325">
        <v>0</v>
      </c>
      <c r="AF128" s="370">
        <v>14</v>
      </c>
      <c r="AG128" s="325">
        <v>1</v>
      </c>
      <c r="AH128" s="370">
        <v>14</v>
      </c>
      <c r="AI128" s="325">
        <v>2</v>
      </c>
      <c r="AJ128" s="401">
        <v>55</v>
      </c>
      <c r="AK128" s="310"/>
    </row>
    <row r="129" spans="1:37" ht="15.75">
      <c r="A129" s="310"/>
      <c r="B129" s="384">
        <v>56</v>
      </c>
      <c r="C129" s="370">
        <v>14</v>
      </c>
      <c r="D129" s="325">
        <v>2</v>
      </c>
      <c r="E129" s="370">
        <v>14</v>
      </c>
      <c r="F129" s="325">
        <v>3</v>
      </c>
      <c r="G129" s="370">
        <v>14</v>
      </c>
      <c r="H129" s="325">
        <v>4</v>
      </c>
      <c r="I129" s="370">
        <v>14</v>
      </c>
      <c r="J129" s="325">
        <v>5</v>
      </c>
      <c r="K129" s="370">
        <v>14</v>
      </c>
      <c r="L129" s="325">
        <v>6</v>
      </c>
      <c r="M129" s="370">
        <v>14</v>
      </c>
      <c r="N129" s="325">
        <v>7</v>
      </c>
      <c r="O129" s="370">
        <v>14</v>
      </c>
      <c r="P129" s="325">
        <v>8</v>
      </c>
      <c r="Q129" s="370">
        <v>14</v>
      </c>
      <c r="R129" s="399">
        <v>9</v>
      </c>
      <c r="S129" s="400">
        <v>56</v>
      </c>
      <c r="T129" s="370">
        <v>14</v>
      </c>
      <c r="U129" s="325">
        <v>10</v>
      </c>
      <c r="V129" s="370">
        <v>14</v>
      </c>
      <c r="W129" s="325">
        <v>11</v>
      </c>
      <c r="X129" s="370">
        <v>14</v>
      </c>
      <c r="Y129" s="325">
        <v>12</v>
      </c>
      <c r="Z129" s="370">
        <v>14</v>
      </c>
      <c r="AA129" s="325">
        <v>13</v>
      </c>
      <c r="AB129" s="370">
        <v>14</v>
      </c>
      <c r="AC129" s="325">
        <v>14</v>
      </c>
      <c r="AD129" s="370">
        <v>14</v>
      </c>
      <c r="AE129" s="325">
        <v>15</v>
      </c>
      <c r="AF129" s="370">
        <v>14</v>
      </c>
      <c r="AG129" s="325">
        <v>16</v>
      </c>
      <c r="AH129" s="370">
        <v>14</v>
      </c>
      <c r="AI129" s="325">
        <v>17</v>
      </c>
      <c r="AJ129" s="401">
        <v>56</v>
      </c>
      <c r="AK129" s="310"/>
    </row>
    <row r="130" spans="1:37" ht="15.75">
      <c r="A130" s="310"/>
      <c r="B130" s="384">
        <v>57</v>
      </c>
      <c r="C130" s="370">
        <v>14</v>
      </c>
      <c r="D130" s="325">
        <v>17</v>
      </c>
      <c r="E130" s="370">
        <v>14</v>
      </c>
      <c r="F130" s="325">
        <v>18</v>
      </c>
      <c r="G130" s="370">
        <v>14</v>
      </c>
      <c r="H130" s="325">
        <v>19</v>
      </c>
      <c r="I130" s="370">
        <v>14</v>
      </c>
      <c r="J130" s="325">
        <v>20</v>
      </c>
      <c r="K130" s="370">
        <v>14</v>
      </c>
      <c r="L130" s="325">
        <v>21</v>
      </c>
      <c r="M130" s="370">
        <v>14</v>
      </c>
      <c r="N130" s="325">
        <v>22</v>
      </c>
      <c r="O130" s="370">
        <v>14</v>
      </c>
      <c r="P130" s="325">
        <v>23</v>
      </c>
      <c r="Q130" s="370">
        <v>14</v>
      </c>
      <c r="R130" s="399">
        <v>24</v>
      </c>
      <c r="S130" s="400">
        <v>57</v>
      </c>
      <c r="T130" s="370">
        <v>14</v>
      </c>
      <c r="U130" s="325">
        <v>25</v>
      </c>
      <c r="V130" s="370">
        <v>14</v>
      </c>
      <c r="W130" s="325">
        <v>26</v>
      </c>
      <c r="X130" s="370">
        <v>14</v>
      </c>
      <c r="Y130" s="325">
        <v>27</v>
      </c>
      <c r="Z130" s="370">
        <v>14</v>
      </c>
      <c r="AA130" s="325">
        <v>28</v>
      </c>
      <c r="AB130" s="370">
        <v>14</v>
      </c>
      <c r="AC130" s="325">
        <v>29</v>
      </c>
      <c r="AD130" s="370">
        <v>14</v>
      </c>
      <c r="AE130" s="325">
        <v>30</v>
      </c>
      <c r="AF130" s="370">
        <v>14</v>
      </c>
      <c r="AG130" s="325">
        <v>31</v>
      </c>
      <c r="AH130" s="370">
        <v>14</v>
      </c>
      <c r="AI130" s="325">
        <v>32</v>
      </c>
      <c r="AJ130" s="401">
        <v>57</v>
      </c>
      <c r="AK130" s="310"/>
    </row>
    <row r="131" spans="1:37" ht="15.75">
      <c r="A131" s="310"/>
      <c r="B131" s="384">
        <v>58</v>
      </c>
      <c r="C131" s="370">
        <v>14</v>
      </c>
      <c r="D131" s="325">
        <v>32</v>
      </c>
      <c r="E131" s="370">
        <v>14</v>
      </c>
      <c r="F131" s="325">
        <v>33</v>
      </c>
      <c r="G131" s="370">
        <v>14</v>
      </c>
      <c r="H131" s="325">
        <v>34</v>
      </c>
      <c r="I131" s="370">
        <v>14</v>
      </c>
      <c r="J131" s="325">
        <v>35</v>
      </c>
      <c r="K131" s="370">
        <v>14</v>
      </c>
      <c r="L131" s="325">
        <v>36</v>
      </c>
      <c r="M131" s="370">
        <v>14</v>
      </c>
      <c r="N131" s="325">
        <v>37</v>
      </c>
      <c r="O131" s="370">
        <v>14</v>
      </c>
      <c r="P131" s="325">
        <v>38</v>
      </c>
      <c r="Q131" s="370">
        <v>14</v>
      </c>
      <c r="R131" s="399">
        <v>39</v>
      </c>
      <c r="S131" s="400">
        <v>58</v>
      </c>
      <c r="T131" s="370">
        <v>14</v>
      </c>
      <c r="U131" s="325">
        <v>40</v>
      </c>
      <c r="V131" s="370">
        <v>14</v>
      </c>
      <c r="W131" s="325">
        <v>41</v>
      </c>
      <c r="X131" s="370">
        <v>14</v>
      </c>
      <c r="Y131" s="325">
        <v>42</v>
      </c>
      <c r="Z131" s="370">
        <v>14</v>
      </c>
      <c r="AA131" s="325">
        <v>43</v>
      </c>
      <c r="AB131" s="370">
        <v>14</v>
      </c>
      <c r="AC131" s="325">
        <v>44</v>
      </c>
      <c r="AD131" s="370">
        <v>14</v>
      </c>
      <c r="AE131" s="325">
        <v>45</v>
      </c>
      <c r="AF131" s="370">
        <v>14</v>
      </c>
      <c r="AG131" s="325">
        <v>46</v>
      </c>
      <c r="AH131" s="370">
        <v>14</v>
      </c>
      <c r="AI131" s="325">
        <v>47</v>
      </c>
      <c r="AJ131" s="401">
        <v>58</v>
      </c>
      <c r="AK131" s="310"/>
    </row>
    <row r="132" spans="1:37" ht="16.5" thickBot="1">
      <c r="A132" s="310"/>
      <c r="B132" s="389">
        <v>59</v>
      </c>
      <c r="C132" s="373">
        <v>14</v>
      </c>
      <c r="D132" s="374">
        <v>47</v>
      </c>
      <c r="E132" s="373">
        <v>14</v>
      </c>
      <c r="F132" s="374">
        <v>48</v>
      </c>
      <c r="G132" s="373">
        <v>14</v>
      </c>
      <c r="H132" s="374">
        <v>49</v>
      </c>
      <c r="I132" s="373">
        <v>14</v>
      </c>
      <c r="J132" s="374">
        <v>50</v>
      </c>
      <c r="K132" s="373">
        <v>14</v>
      </c>
      <c r="L132" s="374">
        <v>51</v>
      </c>
      <c r="M132" s="373">
        <v>14</v>
      </c>
      <c r="N132" s="374">
        <v>52</v>
      </c>
      <c r="O132" s="373">
        <v>14</v>
      </c>
      <c r="P132" s="374">
        <v>53</v>
      </c>
      <c r="Q132" s="373">
        <v>14</v>
      </c>
      <c r="R132" s="402">
        <v>54</v>
      </c>
      <c r="S132" s="403">
        <v>59</v>
      </c>
      <c r="T132" s="373">
        <v>14</v>
      </c>
      <c r="U132" s="374">
        <v>55</v>
      </c>
      <c r="V132" s="373">
        <v>14</v>
      </c>
      <c r="W132" s="374">
        <v>56</v>
      </c>
      <c r="X132" s="373">
        <v>14</v>
      </c>
      <c r="Y132" s="374">
        <v>57</v>
      </c>
      <c r="Z132" s="373">
        <v>14</v>
      </c>
      <c r="AA132" s="374">
        <v>58</v>
      </c>
      <c r="AB132" s="373">
        <v>14</v>
      </c>
      <c r="AC132" s="374">
        <v>59</v>
      </c>
      <c r="AD132" s="373">
        <v>15</v>
      </c>
      <c r="AE132" s="374">
        <v>0</v>
      </c>
      <c r="AF132" s="373">
        <v>15</v>
      </c>
      <c r="AG132" s="374">
        <v>1</v>
      </c>
      <c r="AH132" s="373">
        <v>15</v>
      </c>
      <c r="AI132" s="374">
        <v>2</v>
      </c>
      <c r="AJ132" s="404">
        <v>59</v>
      </c>
      <c r="AK132" s="310"/>
    </row>
    <row r="133" spans="1:37" ht="21">
      <c r="A133" s="310"/>
      <c r="B133" s="873" t="s">
        <v>209</v>
      </c>
      <c r="C133" s="873"/>
      <c r="D133" s="873"/>
      <c r="E133" s="873"/>
      <c r="F133" s="873"/>
      <c r="G133" s="873"/>
      <c r="H133" s="873"/>
      <c r="I133" s="873"/>
      <c r="J133" s="873"/>
      <c r="K133" s="873"/>
      <c r="L133" s="873"/>
      <c r="M133" s="873"/>
      <c r="N133" s="873"/>
      <c r="O133" s="873"/>
      <c r="P133" s="873"/>
      <c r="Q133" s="873"/>
      <c r="R133" s="873"/>
      <c r="S133" s="873"/>
      <c r="T133" s="873"/>
      <c r="U133" s="873"/>
      <c r="V133" s="873"/>
      <c r="W133" s="873"/>
      <c r="X133" s="873"/>
      <c r="Y133" s="873"/>
      <c r="Z133" s="873"/>
      <c r="AA133" s="873"/>
      <c r="AB133" s="873"/>
      <c r="AC133" s="873"/>
      <c r="AD133" s="873"/>
      <c r="AE133" s="873"/>
      <c r="AF133" s="873"/>
      <c r="AG133" s="873"/>
      <c r="AH133" s="873"/>
      <c r="AI133" s="873"/>
      <c r="AJ133" s="873"/>
      <c r="AK133" s="310"/>
    </row>
    <row r="134" spans="1:37" ht="9" customHeight="1">
      <c r="A134" s="310"/>
      <c r="B134" s="310"/>
      <c r="C134" s="353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0"/>
      <c r="O134" s="310"/>
      <c r="P134" s="310"/>
      <c r="Q134" s="310"/>
      <c r="R134" s="310"/>
      <c r="S134" s="310"/>
      <c r="T134" s="310"/>
      <c r="U134" s="310"/>
      <c r="V134" s="310"/>
      <c r="W134" s="310"/>
      <c r="X134" s="310"/>
      <c r="Y134" s="310"/>
      <c r="Z134" s="310"/>
      <c r="AA134" s="310"/>
      <c r="AB134" s="310"/>
      <c r="AC134" s="310"/>
      <c r="AD134" s="310"/>
      <c r="AE134" s="310"/>
      <c r="AF134" s="310"/>
      <c r="AG134" s="310"/>
      <c r="AH134" s="310"/>
      <c r="AI134" s="310"/>
      <c r="AJ134" s="310"/>
      <c r="AK134" s="310"/>
    </row>
  </sheetData>
  <sheetProtection password="C661" sheet="1" objects="1" scenarios="1" selectLockedCells="1" selectUnlockedCells="1"/>
  <mergeCells count="50">
    <mergeCell ref="AD17:AE17"/>
    <mergeCell ref="B133:AJ133"/>
    <mergeCell ref="AB43:AC43"/>
    <mergeCell ref="AD43:AE43"/>
    <mergeCell ref="AF43:AG43"/>
    <mergeCell ref="AH43:AI43"/>
    <mergeCell ref="J43:K43"/>
    <mergeCell ref="L43:M43"/>
    <mergeCell ref="N43:O43"/>
    <mergeCell ref="AI70:AJ70"/>
    <mergeCell ref="X17:Y17"/>
    <mergeCell ref="C2:AI2"/>
    <mergeCell ref="G3:AE3"/>
    <mergeCell ref="P43:Q43"/>
    <mergeCell ref="R43:S43"/>
    <mergeCell ref="T43:U43"/>
    <mergeCell ref="V43:W43"/>
    <mergeCell ref="X43:Y43"/>
    <mergeCell ref="Z43:AA43"/>
    <mergeCell ref="AB17:AC17"/>
    <mergeCell ref="N17:O17"/>
    <mergeCell ref="P17:Q17"/>
    <mergeCell ref="AF17:AG17"/>
    <mergeCell ref="AH17:AI17"/>
    <mergeCell ref="D43:E43"/>
    <mergeCell ref="F43:G43"/>
    <mergeCell ref="H43:I43"/>
    <mergeCell ref="R17:S17"/>
    <mergeCell ref="T17:U17"/>
    <mergeCell ref="V17:W17"/>
    <mergeCell ref="AB4:AC4"/>
    <mergeCell ref="AD4:AE4"/>
    <mergeCell ref="N4:O4"/>
    <mergeCell ref="B70:AH70"/>
    <mergeCell ref="H4:I4"/>
    <mergeCell ref="J4:K4"/>
    <mergeCell ref="L4:M4"/>
    <mergeCell ref="P4:Q4"/>
    <mergeCell ref="R4:S4"/>
    <mergeCell ref="C16:AI16"/>
    <mergeCell ref="T4:U4"/>
    <mergeCell ref="V4:W4"/>
    <mergeCell ref="Z4:AA4"/>
    <mergeCell ref="Z17:AA17"/>
    <mergeCell ref="D17:E17"/>
    <mergeCell ref="F17:G17"/>
    <mergeCell ref="X4:Y4"/>
    <mergeCell ref="H17:I17"/>
    <mergeCell ref="J17:K17"/>
    <mergeCell ref="L17:M17"/>
  </mergeCells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AB80"/>
  <sheetViews>
    <sheetView zoomScale="85" zoomScaleNormal="85" zoomScalePageLayoutView="0" workbookViewId="0" topLeftCell="A1">
      <selection activeCell="B2" sqref="B2:C2"/>
    </sheetView>
  </sheetViews>
  <sheetFormatPr defaultColWidth="0" defaultRowHeight="15.75" zeroHeight="1"/>
  <cols>
    <col min="1" max="1" width="1.00390625" style="277" customWidth="1"/>
    <col min="2" max="3" width="7.375" style="306" customWidth="1"/>
    <col min="4" max="4" width="7.375" style="307" customWidth="1"/>
    <col min="5" max="5" width="7.375" style="306" customWidth="1"/>
    <col min="6" max="6" width="7.375" style="307" customWidth="1"/>
    <col min="7" max="7" width="7.375" style="306" customWidth="1"/>
    <col min="8" max="8" width="7.375" style="307" customWidth="1"/>
    <col min="9" max="10" width="7.875" style="308" customWidth="1"/>
    <col min="11" max="12" width="7.375" style="306" customWidth="1"/>
    <col min="13" max="13" width="7.375" style="307" customWidth="1"/>
    <col min="14" max="14" width="7.375" style="306" customWidth="1"/>
    <col min="15" max="15" width="7.375" style="307" customWidth="1"/>
    <col min="16" max="16" width="7.375" style="306" customWidth="1"/>
    <col min="17" max="17" width="7.375" style="307" customWidth="1"/>
    <col min="18" max="19" width="7.875" style="308" customWidth="1"/>
    <col min="20" max="20" width="1.00390625" style="277" customWidth="1"/>
    <col min="21" max="27" width="10.875" style="277" hidden="1" customWidth="1"/>
    <col min="28" max="28" width="15.125" style="277" hidden="1" customWidth="1"/>
    <col min="29" max="16384" width="10.875" style="277" hidden="1" customWidth="1"/>
  </cols>
  <sheetData>
    <row r="1" spans="1:20" ht="6" customHeight="1">
      <c r="A1" s="273"/>
      <c r="B1" s="274"/>
      <c r="C1" s="274"/>
      <c r="D1" s="275"/>
      <c r="E1" s="274"/>
      <c r="F1" s="275"/>
      <c r="G1" s="274"/>
      <c r="H1" s="275"/>
      <c r="I1" s="276"/>
      <c r="J1" s="276"/>
      <c r="K1" s="274"/>
      <c r="L1" s="274"/>
      <c r="M1" s="275"/>
      <c r="N1" s="274"/>
      <c r="O1" s="275"/>
      <c r="P1" s="274"/>
      <c r="Q1" s="275"/>
      <c r="R1" s="276"/>
      <c r="S1" s="276"/>
      <c r="T1" s="273"/>
    </row>
    <row r="2" spans="1:20" ht="26.25">
      <c r="A2" s="273"/>
      <c r="B2" s="889">
        <v>53</v>
      </c>
      <c r="C2" s="889"/>
      <c r="D2" s="887" t="s">
        <v>379</v>
      </c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77">
        <f>B2+1</f>
        <v>54</v>
      </c>
      <c r="S2" s="877"/>
      <c r="T2" s="273"/>
    </row>
    <row r="3" spans="1:20" ht="3.75" customHeight="1" thickBot="1">
      <c r="A3" s="273"/>
      <c r="B3" s="278"/>
      <c r="C3" s="27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279"/>
      <c r="S3" s="279"/>
      <c r="T3" s="273"/>
    </row>
    <row r="4" spans="1:20" ht="25.5">
      <c r="A4" s="273"/>
      <c r="B4" s="309" t="s">
        <v>206</v>
      </c>
      <c r="C4" s="878" t="s">
        <v>387</v>
      </c>
      <c r="D4" s="879"/>
      <c r="E4" s="879"/>
      <c r="F4" s="879"/>
      <c r="G4" s="879"/>
      <c r="H4" s="879"/>
      <c r="I4" s="879"/>
      <c r="J4" s="880"/>
      <c r="K4" s="309" t="s">
        <v>206</v>
      </c>
      <c r="L4" s="878" t="s">
        <v>387</v>
      </c>
      <c r="M4" s="879"/>
      <c r="N4" s="879"/>
      <c r="O4" s="879"/>
      <c r="P4" s="879"/>
      <c r="Q4" s="879"/>
      <c r="R4" s="879"/>
      <c r="S4" s="880"/>
      <c r="T4" s="273"/>
    </row>
    <row r="5" spans="1:20" ht="27" customHeight="1">
      <c r="A5" s="273"/>
      <c r="B5" s="894">
        <f>B2</f>
        <v>53</v>
      </c>
      <c r="C5" s="881" t="s">
        <v>381</v>
      </c>
      <c r="D5" s="882"/>
      <c r="E5" s="883" t="s">
        <v>383</v>
      </c>
      <c r="F5" s="884"/>
      <c r="G5" s="883" t="s">
        <v>384</v>
      </c>
      <c r="H5" s="884"/>
      <c r="I5" s="892" t="s">
        <v>385</v>
      </c>
      <c r="J5" s="875" t="s">
        <v>386</v>
      </c>
      <c r="K5" s="894">
        <f>R2</f>
        <v>54</v>
      </c>
      <c r="L5" s="881" t="s">
        <v>381</v>
      </c>
      <c r="M5" s="882"/>
      <c r="N5" s="883" t="s">
        <v>383</v>
      </c>
      <c r="O5" s="884"/>
      <c r="P5" s="883" t="s">
        <v>384</v>
      </c>
      <c r="Q5" s="884"/>
      <c r="R5" s="892" t="s">
        <v>385</v>
      </c>
      <c r="S5" s="875" t="s">
        <v>386</v>
      </c>
      <c r="T5" s="273"/>
    </row>
    <row r="6" spans="1:28" ht="27" customHeight="1" thickBot="1">
      <c r="A6" s="273"/>
      <c r="B6" s="895"/>
      <c r="C6" s="896" t="s">
        <v>382</v>
      </c>
      <c r="D6" s="897"/>
      <c r="E6" s="885"/>
      <c r="F6" s="886"/>
      <c r="G6" s="885"/>
      <c r="H6" s="886"/>
      <c r="I6" s="893"/>
      <c r="J6" s="876"/>
      <c r="K6" s="895"/>
      <c r="L6" s="896" t="s">
        <v>382</v>
      </c>
      <c r="M6" s="897"/>
      <c r="N6" s="885"/>
      <c r="O6" s="886"/>
      <c r="P6" s="885"/>
      <c r="Q6" s="886"/>
      <c r="R6" s="893"/>
      <c r="S6" s="876"/>
      <c r="T6" s="273"/>
      <c r="Z6" s="280"/>
      <c r="AA6" s="281"/>
      <c r="AB6" s="282"/>
    </row>
    <row r="7" spans="1:20" ht="23.25">
      <c r="A7" s="273"/>
      <c r="B7" s="890" t="s">
        <v>380</v>
      </c>
      <c r="C7" s="283" t="s">
        <v>200</v>
      </c>
      <c r="D7" s="284" t="s">
        <v>201</v>
      </c>
      <c r="E7" s="283" t="s">
        <v>200</v>
      </c>
      <c r="F7" s="284" t="s">
        <v>201</v>
      </c>
      <c r="G7" s="283" t="s">
        <v>200</v>
      </c>
      <c r="H7" s="284" t="s">
        <v>201</v>
      </c>
      <c r="I7" s="285" t="s">
        <v>201</v>
      </c>
      <c r="J7" s="286" t="s">
        <v>201</v>
      </c>
      <c r="K7" s="890" t="s">
        <v>380</v>
      </c>
      <c r="L7" s="283" t="s">
        <v>200</v>
      </c>
      <c r="M7" s="284" t="s">
        <v>201</v>
      </c>
      <c r="N7" s="283" t="s">
        <v>200</v>
      </c>
      <c r="O7" s="284" t="s">
        <v>201</v>
      </c>
      <c r="P7" s="283" t="s">
        <v>200</v>
      </c>
      <c r="Q7" s="284" t="s">
        <v>201</v>
      </c>
      <c r="R7" s="285" t="s">
        <v>201</v>
      </c>
      <c r="S7" s="287" t="s">
        <v>201</v>
      </c>
      <c r="T7" s="273"/>
    </row>
    <row r="8" spans="1:20" ht="6.75" customHeight="1">
      <c r="A8" s="273"/>
      <c r="B8" s="891"/>
      <c r="C8" s="288"/>
      <c r="D8" s="289"/>
      <c r="E8" s="288"/>
      <c r="F8" s="289"/>
      <c r="G8" s="288"/>
      <c r="H8" s="289"/>
      <c r="I8" s="290"/>
      <c r="J8" s="291"/>
      <c r="K8" s="891"/>
      <c r="L8" s="288"/>
      <c r="M8" s="289"/>
      <c r="N8" s="288"/>
      <c r="O8" s="289"/>
      <c r="P8" s="288"/>
      <c r="Q8" s="289"/>
      <c r="R8" s="290"/>
      <c r="S8" s="292"/>
      <c r="T8" s="273"/>
    </row>
    <row r="9" spans="1:24" ht="15">
      <c r="A9" s="273"/>
      <c r="B9" s="293">
        <v>0</v>
      </c>
      <c r="C9" s="288">
        <f>INT(15*(TIME(0,min_l,$B9)*24))</f>
        <v>13</v>
      </c>
      <c r="D9" s="289">
        <f>((15*((TIME(0,min_l,$B9))*24))-(INT(15*(TIME(0,min_l,$B9)*24))))*60</f>
        <v>15</v>
      </c>
      <c r="E9" s="288">
        <f>INT(15.0410844436191*(TIME(0,min_l,$B9)*24))</f>
        <v>13</v>
      </c>
      <c r="F9" s="289">
        <f>((15.04167*((TIME(0,min_l,$B9))*24))-(INT(15.04167*(TIME(0,min_l,$B9)*24))))*60</f>
        <v>17.20850999999996</v>
      </c>
      <c r="G9" s="288">
        <f>INT(14.31667*(TIME(0,min_l,$B9)*24))</f>
        <v>12</v>
      </c>
      <c r="H9" s="289">
        <f>((14.31667*((TIME(0,min_l,$B9))*24))-(INT(14.31667*(TIME(0,min_l,$B9)*24))))*60</f>
        <v>38.78350999999995</v>
      </c>
      <c r="I9" s="294">
        <v>0</v>
      </c>
      <c r="J9" s="295">
        <f>I9/60*min_l</f>
        <v>0</v>
      </c>
      <c r="K9" s="296">
        <v>0</v>
      </c>
      <c r="L9" s="288">
        <f>INT(15*(TIME(0,min_r,$K9)*24))</f>
        <v>13</v>
      </c>
      <c r="M9" s="289">
        <f>((15*((TIME(0,min_r,$K9))*24))-(INT(15*(TIME(0,min_r,$K9)*24))))*60</f>
        <v>29.999999999999893</v>
      </c>
      <c r="N9" s="288">
        <f>INT(15.0410844436191*(TIME(0,min_r,$K9)*24))</f>
        <v>13</v>
      </c>
      <c r="O9" s="289">
        <f>((15.04167*((TIME(0,min_r,$K9))*24))-(INT(15.04167*(TIME(0,min_r,$K9)*24))))*60</f>
        <v>32.25017999999995</v>
      </c>
      <c r="P9" s="288">
        <f>INT(14.31667*(TIME(0,min_r,$K9)*24))</f>
        <v>12</v>
      </c>
      <c r="Q9" s="289">
        <f>((14.31667*((TIME(0,min_r,$K9))*24))-(INT(14.31667*(TIME(0,min_r,$K9)*24))))*60</f>
        <v>53.10017999999996</v>
      </c>
      <c r="R9" s="297">
        <v>0</v>
      </c>
      <c r="S9" s="298">
        <f>R9/60*min_r</f>
        <v>0</v>
      </c>
      <c r="T9" s="299"/>
      <c r="U9" s="281"/>
      <c r="X9" s="300"/>
    </row>
    <row r="10" spans="1:24" ht="15">
      <c r="A10" s="273"/>
      <c r="B10" s="296">
        <v>1</v>
      </c>
      <c r="C10" s="288">
        <f>INT(15*(TIME(0,min_l,$B10)*24))</f>
        <v>13</v>
      </c>
      <c r="D10" s="289">
        <f>((15*((TIME(0,min_l,$B10))*24))-(INT(15*(TIME(0,min_l,$B10)*24))))*60</f>
        <v>15.249999999999986</v>
      </c>
      <c r="E10" s="288">
        <f>INT(15.0410844436191*(TIME(0,min_l,$B10)*24))</f>
        <v>13</v>
      </c>
      <c r="F10" s="289">
        <f>((15.04167*((TIME(0,min_l,$B10))*24))-(INT(15.04167*(TIME(0,min_l,$B10)*24))))*60</f>
        <v>17.459204499999963</v>
      </c>
      <c r="G10" s="288">
        <f>INT(14.31667*(TIME(0,min_l,$B10)*24))</f>
        <v>12</v>
      </c>
      <c r="H10" s="289">
        <f>((14.31667*((TIME(0,min_l,$B10))*24))-(INT(14.31667*(TIME(0,min_l,$B10)*24))))*60</f>
        <v>39.02212116666668</v>
      </c>
      <c r="I10" s="297">
        <v>0.3</v>
      </c>
      <c r="J10" s="295">
        <f>I10/60*min_l</f>
        <v>0.265</v>
      </c>
      <c r="K10" s="296">
        <v>1</v>
      </c>
      <c r="L10" s="288">
        <f>INT(15*(TIME(0,min_r,$K10)*24))</f>
        <v>13</v>
      </c>
      <c r="M10" s="289">
        <f>((15*((TIME(0,min_r,$K10))*24))-(INT(15*(TIME(0,min_r,$K10)*24))))*60</f>
        <v>30.249999999999986</v>
      </c>
      <c r="N10" s="288">
        <f>INT(15.0410844436191*(TIME(0,min_r,$K10)*24))</f>
        <v>13</v>
      </c>
      <c r="O10" s="289">
        <f>((15.04167*((TIME(0,min_r,$K10))*24))-(INT(15.04167*(TIME(0,min_r,$K10)*24))))*60</f>
        <v>32.50087449999995</v>
      </c>
      <c r="P10" s="288">
        <f>INT(14.31667*(TIME(0,min_r,$K10)*24))</f>
        <v>12</v>
      </c>
      <c r="Q10" s="289">
        <f>((14.31667*((TIME(0,min_r,$K10))*24))-(INT(14.31667*(TIME(0,min_r,$K10)*24))))*60</f>
        <v>53.33879116666669</v>
      </c>
      <c r="R10" s="297">
        <v>0.3</v>
      </c>
      <c r="S10" s="298">
        <f>R10/60*min_r</f>
        <v>0.27</v>
      </c>
      <c r="T10" s="299"/>
      <c r="U10" s="281"/>
      <c r="X10" s="300"/>
    </row>
    <row r="11" spans="1:24" ht="15">
      <c r="A11" s="273"/>
      <c r="B11" s="296">
        <v>2</v>
      </c>
      <c r="C11" s="288">
        <f>INT(15*(TIME(0,min_l,$B11)*24))</f>
        <v>13</v>
      </c>
      <c r="D11" s="289">
        <f>((15*((TIME(0,min_l,$B11))*24))-(INT(15*(TIME(0,min_l,$B11)*24))))*60</f>
        <v>15.500000000000078</v>
      </c>
      <c r="E11" s="288">
        <f>INT(15.0410844436191*(TIME(0,min_l,$B11)*24))</f>
        <v>13</v>
      </c>
      <c r="F11" s="289">
        <f>((15.04167*((TIME(0,min_l,$B11))*24))-(INT(15.04167*(TIME(0,min_l,$B11)*24))))*60</f>
        <v>17.70989900000007</v>
      </c>
      <c r="G11" s="288">
        <f>INT(14.31667*(TIME(0,min_l,$B11)*24))</f>
        <v>12</v>
      </c>
      <c r="H11" s="289">
        <f>((14.31667*((TIME(0,min_l,$B11))*24))-(INT(14.31667*(TIME(0,min_l,$B11)*24))))*60</f>
        <v>39.26073233333341</v>
      </c>
      <c r="I11" s="297">
        <v>0.6</v>
      </c>
      <c r="J11" s="295">
        <f>I11/60*min_l</f>
        <v>0.53</v>
      </c>
      <c r="K11" s="296">
        <v>2</v>
      </c>
      <c r="L11" s="288">
        <f>INT(15*(TIME(0,min_r,$K11)*24))</f>
        <v>13</v>
      </c>
      <c r="M11" s="289">
        <f>((15*((TIME(0,min_r,$K11))*24))-(INT(15*(TIME(0,min_r,$K11)*24))))*60</f>
        <v>30.49999999999997</v>
      </c>
      <c r="N11" s="288">
        <f>INT(15.0410844436191*(TIME(0,min_r,$K11)*24))</f>
        <v>13</v>
      </c>
      <c r="O11" s="289">
        <f>((15.04167*((TIME(0,min_r,$K11))*24))-(INT(15.04167*(TIME(0,min_r,$K11)*24))))*60</f>
        <v>32.751568999999954</v>
      </c>
      <c r="P11" s="288">
        <f>INT(14.31667*(TIME(0,min_r,$K11)*24))</f>
        <v>12</v>
      </c>
      <c r="Q11" s="289">
        <f>((14.31667*((TIME(0,min_r,$K11))*24))-(INT(14.31667*(TIME(0,min_r,$K11)*24))))*60</f>
        <v>53.57740233333331</v>
      </c>
      <c r="R11" s="297">
        <v>0.6</v>
      </c>
      <c r="S11" s="298">
        <f>R11/60*min_r</f>
        <v>0.54</v>
      </c>
      <c r="T11" s="299"/>
      <c r="U11" s="281"/>
      <c r="X11" s="300"/>
    </row>
    <row r="12" spans="1:24" ht="15">
      <c r="A12" s="273"/>
      <c r="B12" s="296">
        <v>3</v>
      </c>
      <c r="C12" s="288">
        <f>INT(15*(TIME(0,min_l,$B12)*24))</f>
        <v>13</v>
      </c>
      <c r="D12" s="289">
        <f>((15*((TIME(0,min_l,$B12))*24))-(INT(15*(TIME(0,min_l,$B12)*24))))*60</f>
        <v>15.749999999999957</v>
      </c>
      <c r="E12" s="288">
        <f>INT(15.0410844436191*(TIME(0,min_l,$B12)*24))</f>
        <v>13</v>
      </c>
      <c r="F12" s="289">
        <f>((15.04167*((TIME(0,min_l,$B12))*24))-(INT(15.04167*(TIME(0,min_l,$B12)*24))))*60</f>
        <v>17.960593499999966</v>
      </c>
      <c r="G12" s="288">
        <f>INT(14.31667*(TIME(0,min_l,$B12)*24))</f>
        <v>12</v>
      </c>
      <c r="H12" s="289">
        <f>((14.31667*((TIME(0,min_l,$B12))*24))-(INT(14.31667*(TIME(0,min_l,$B12)*24))))*60</f>
        <v>39.49934350000003</v>
      </c>
      <c r="I12" s="297">
        <v>0.8999999999999999</v>
      </c>
      <c r="J12" s="295">
        <f>I12/60*min_l</f>
        <v>0.7949999999999999</v>
      </c>
      <c r="K12" s="296">
        <v>3</v>
      </c>
      <c r="L12" s="288">
        <f>INT(15*(TIME(0,min_r,$K12)*24))</f>
        <v>13</v>
      </c>
      <c r="M12" s="289">
        <f>((15*((TIME(0,min_r,$K12))*24))-(INT(15*(TIME(0,min_r,$K12)*24))))*60</f>
        <v>30.749999999999957</v>
      </c>
      <c r="N12" s="288">
        <f>INT(15.0410844436191*(TIME(0,min_r,$K12)*24))</f>
        <v>13</v>
      </c>
      <c r="O12" s="289">
        <f>((15.04167*((TIME(0,min_r,$K12))*24))-(INT(15.04167*(TIME(0,min_r,$K12)*24))))*60</f>
        <v>33.002263499999955</v>
      </c>
      <c r="P12" s="288">
        <f>INT(14.31667*(TIME(0,min_r,$K12)*24))</f>
        <v>12</v>
      </c>
      <c r="Q12" s="289">
        <f>((14.31667*((TIME(0,min_r,$K12))*24))-(INT(14.31667*(TIME(0,min_r,$K12)*24))))*60</f>
        <v>53.81601349999993</v>
      </c>
      <c r="R12" s="297">
        <v>0.8999999999999999</v>
      </c>
      <c r="S12" s="298">
        <f>R12/60*min_r</f>
        <v>0.8099999999999998</v>
      </c>
      <c r="T12" s="299"/>
      <c r="U12" s="281"/>
      <c r="X12" s="300"/>
    </row>
    <row r="13" spans="1:24" ht="15">
      <c r="A13" s="273"/>
      <c r="B13" s="296">
        <v>4</v>
      </c>
      <c r="C13" s="288">
        <f>INT(15*(TIME(0,min_l,$B13)*24))</f>
        <v>13</v>
      </c>
      <c r="D13" s="289">
        <f>((15*((TIME(0,min_l,$B13))*24))-(INT(15*(TIME(0,min_l,$B13)*24))))*60</f>
        <v>15.999999999999943</v>
      </c>
      <c r="E13" s="288">
        <f>INT(15.0410844436191*(TIME(0,min_l,$B13)*24))</f>
        <v>13</v>
      </c>
      <c r="F13" s="289">
        <f>((15.04167*((TIME(0,min_l,$B13))*24))-(INT(15.04167*(TIME(0,min_l,$B13)*24))))*60</f>
        <v>18.211287999999968</v>
      </c>
      <c r="G13" s="288">
        <f>INT(14.31667*(TIME(0,min_l,$B13)*24))</f>
        <v>12</v>
      </c>
      <c r="H13" s="289">
        <f>((14.31667*((TIME(0,min_l,$B13))*24))-(INT(14.31667*(TIME(0,min_l,$B13)*24))))*60</f>
        <v>39.73795466666665</v>
      </c>
      <c r="I13" s="297">
        <v>1.2</v>
      </c>
      <c r="J13" s="295">
        <f>I13/60*min_l</f>
        <v>1.06</v>
      </c>
      <c r="K13" s="296">
        <v>4</v>
      </c>
      <c r="L13" s="288">
        <f>INT(15*(TIME(0,min_r,$K13)*24))</f>
        <v>13</v>
      </c>
      <c r="M13" s="289">
        <f>((15*((TIME(0,min_r,$K13))*24))-(INT(15*(TIME(0,min_r,$K13)*24))))*60</f>
        <v>31.00000000000005</v>
      </c>
      <c r="N13" s="288">
        <f>INT(15.0410844436191*(TIME(0,min_r,$K13)*24))</f>
        <v>13</v>
      </c>
      <c r="O13" s="289">
        <f>((15.04167*((TIME(0,min_r,$K13))*24))-(INT(15.04167*(TIME(0,min_r,$K13)*24))))*60</f>
        <v>33.25295800000006</v>
      </c>
      <c r="P13" s="288">
        <f>INT(14.31667*(TIME(0,min_r,$K13)*24))</f>
        <v>12</v>
      </c>
      <c r="Q13" s="289">
        <f>((14.31667*((TIME(0,min_r,$K13))*24))-(INT(14.31667*(TIME(0,min_r,$K13)*24))))*60</f>
        <v>54.05462466666677</v>
      </c>
      <c r="R13" s="297">
        <v>1.2</v>
      </c>
      <c r="S13" s="298">
        <f>R13/60*min_r</f>
        <v>1.08</v>
      </c>
      <c r="T13" s="299"/>
      <c r="U13" s="281"/>
      <c r="X13" s="300"/>
    </row>
    <row r="14" spans="1:20" ht="6.75" customHeight="1">
      <c r="A14" s="273"/>
      <c r="B14" s="296"/>
      <c r="C14" s="288"/>
      <c r="D14" s="289"/>
      <c r="E14" s="288"/>
      <c r="F14" s="289"/>
      <c r="G14" s="288"/>
      <c r="H14" s="289"/>
      <c r="I14" s="297"/>
      <c r="J14" s="295"/>
      <c r="K14" s="296"/>
      <c r="L14" s="288"/>
      <c r="M14" s="289"/>
      <c r="N14" s="288"/>
      <c r="O14" s="289"/>
      <c r="P14" s="288"/>
      <c r="Q14" s="289"/>
      <c r="R14" s="297"/>
      <c r="S14" s="298"/>
      <c r="T14" s="299"/>
    </row>
    <row r="15" spans="1:20" ht="15">
      <c r="A15" s="273"/>
      <c r="B15" s="296">
        <v>5</v>
      </c>
      <c r="C15" s="288">
        <f>INT(15*(TIME(0,min_l,$B15)*24))</f>
        <v>13</v>
      </c>
      <c r="D15" s="289">
        <f>((15*((TIME(0,min_l,$B15))*24))-(INT(15*(TIME(0,min_l,$B15)*24))))*60</f>
        <v>16.250000000000142</v>
      </c>
      <c r="E15" s="288">
        <f>INT(15.0410844436191*(TIME(0,min_l,$B15)*24))</f>
        <v>13</v>
      </c>
      <c r="F15" s="289">
        <f>((15.04167*((TIME(0,min_l,$B15))*24))-(INT(15.04167*(TIME(0,min_l,$B15)*24))))*60</f>
        <v>18.461982500000182</v>
      </c>
      <c r="G15" s="288">
        <f>INT(14.31667*(TIME(0,min_l,$B15)*24))</f>
        <v>12</v>
      </c>
      <c r="H15" s="289">
        <f>((14.31667*((TIME(0,min_l,$B15))*24))-(INT(14.31667*(TIME(0,min_l,$B15)*24))))*60</f>
        <v>39.97656583333349</v>
      </c>
      <c r="I15" s="297">
        <v>1.5</v>
      </c>
      <c r="J15" s="295">
        <f>I15/60*min_l</f>
        <v>1.3250000000000002</v>
      </c>
      <c r="K15" s="296">
        <v>5</v>
      </c>
      <c r="L15" s="288">
        <f>INT(15*(TIME(0,min_r,$K15)*24))</f>
        <v>13</v>
      </c>
      <c r="M15" s="289">
        <f>((15*((TIME(0,min_r,$K15))*24))-(INT(15*(TIME(0,min_r,$K15)*24))))*60</f>
        <v>31.250000000000142</v>
      </c>
      <c r="N15" s="288">
        <f>INT(15.0410844436191*(TIME(0,min_r,$K15)*24))</f>
        <v>13</v>
      </c>
      <c r="O15" s="289">
        <f>((15.04167*((TIME(0,min_r,$K15))*24))-(INT(15.04167*(TIME(0,min_r,$K15)*24))))*60</f>
        <v>33.503652500000065</v>
      </c>
      <c r="P15" s="288">
        <f>INT(14.31667*(TIME(0,min_r,$K15)*24))</f>
        <v>12</v>
      </c>
      <c r="Q15" s="289">
        <f>((14.31667*((TIME(0,min_r,$K15))*24))-(INT(14.31667*(TIME(0,min_r,$K15)*24))))*60</f>
        <v>54.2932358333335</v>
      </c>
      <c r="R15" s="297">
        <v>1.5</v>
      </c>
      <c r="S15" s="298">
        <f>R15/60*min_r</f>
        <v>1.35</v>
      </c>
      <c r="T15" s="299"/>
    </row>
    <row r="16" spans="1:20" ht="15">
      <c r="A16" s="273"/>
      <c r="B16" s="296">
        <v>6</v>
      </c>
      <c r="C16" s="288">
        <f>INT(15*(TIME(0,min_l,$B16)*24))</f>
        <v>13</v>
      </c>
      <c r="D16" s="289">
        <f>((15*((TIME(0,min_l,$B16))*24))-(INT(15*(TIME(0,min_l,$B16)*24))))*60</f>
        <v>16.50000000000002</v>
      </c>
      <c r="E16" s="288">
        <f>INT(15.0410844436191*(TIME(0,min_l,$B16)*24))</f>
        <v>13</v>
      </c>
      <c r="F16" s="289">
        <f>((15.04167*((TIME(0,min_l,$B16))*24))-(INT(15.04167*(TIME(0,min_l,$B16)*24))))*60</f>
        <v>18.71267699999997</v>
      </c>
      <c r="G16" s="288">
        <f>INT(14.31667*(TIME(0,min_l,$B16)*24))</f>
        <v>12</v>
      </c>
      <c r="H16" s="289">
        <f>((14.31667*((TIME(0,min_l,$B16))*24))-(INT(14.31667*(TIME(0,min_l,$B16)*24))))*60</f>
        <v>40.215177000000004</v>
      </c>
      <c r="I16" s="297">
        <v>1.8</v>
      </c>
      <c r="J16" s="295">
        <f>I16/60*min_l</f>
        <v>1.59</v>
      </c>
      <c r="K16" s="296">
        <v>6</v>
      </c>
      <c r="L16" s="288">
        <f>INT(15*(TIME(0,min_r,$K16)*24))</f>
        <v>13</v>
      </c>
      <c r="M16" s="289">
        <f>((15*((TIME(0,min_r,$K16))*24))-(INT(15*(TIME(0,min_r,$K16)*24))))*60</f>
        <v>31.50000000000002</v>
      </c>
      <c r="N16" s="288">
        <f>INT(15.0410844436191*(TIME(0,min_r,$K16)*24))</f>
        <v>13</v>
      </c>
      <c r="O16" s="289">
        <f>((15.04167*((TIME(0,min_r,$K16))*24))-(INT(15.04167*(TIME(0,min_r,$K16)*24))))*60</f>
        <v>33.75434700000007</v>
      </c>
      <c r="P16" s="288">
        <f>INT(14.31667*(TIME(0,min_r,$K16)*24))</f>
        <v>12</v>
      </c>
      <c r="Q16" s="289">
        <f>((14.31667*((TIME(0,min_r,$K16))*24))-(INT(14.31667*(TIME(0,min_r,$K16)*24))))*60</f>
        <v>54.53184700000001</v>
      </c>
      <c r="R16" s="297">
        <v>1.8</v>
      </c>
      <c r="S16" s="298">
        <f>R16/60*min_r</f>
        <v>1.62</v>
      </c>
      <c r="T16" s="299"/>
    </row>
    <row r="17" spans="1:20" ht="15">
      <c r="A17" s="273"/>
      <c r="B17" s="296">
        <v>7</v>
      </c>
      <c r="C17" s="288">
        <f>INT(15*(TIME(0,min_l,$B17)*24))</f>
        <v>13</v>
      </c>
      <c r="D17" s="289">
        <f>((15*((TIME(0,min_l,$B17))*24))-(INT(15*(TIME(0,min_l,$B17)*24))))*60</f>
        <v>16.750000000000007</v>
      </c>
      <c r="E17" s="288">
        <f>INT(15.0410844436191*(TIME(0,min_l,$B17)*24))</f>
        <v>13</v>
      </c>
      <c r="F17" s="289">
        <f>((15.04167*((TIME(0,min_l,$B17))*24))-(INT(15.04167*(TIME(0,min_l,$B17)*24))))*60</f>
        <v>18.96337150000008</v>
      </c>
      <c r="G17" s="288">
        <f>INT(14.31667*(TIME(0,min_l,$B17)*24))</f>
        <v>12</v>
      </c>
      <c r="H17" s="289">
        <f>((14.31667*((TIME(0,min_l,$B17))*24))-(INT(14.31667*(TIME(0,min_l,$B17)*24))))*60</f>
        <v>40.45378816666673</v>
      </c>
      <c r="I17" s="297">
        <v>2.1</v>
      </c>
      <c r="J17" s="295">
        <f>I17/60*min_l</f>
        <v>1.8550000000000002</v>
      </c>
      <c r="K17" s="296">
        <v>7</v>
      </c>
      <c r="L17" s="288">
        <f>INT(15*(TIME(0,min_r,$K17)*24))</f>
        <v>13</v>
      </c>
      <c r="M17" s="289">
        <f>((15*((TIME(0,min_r,$K17))*24))-(INT(15*(TIME(0,min_r,$K17)*24))))*60</f>
        <v>31.750000000000007</v>
      </c>
      <c r="N17" s="288">
        <f>INT(15.0410844436191*(TIME(0,min_r,$K17)*24))</f>
        <v>13</v>
      </c>
      <c r="O17" s="289">
        <f>((15.04167*((TIME(0,min_r,$K17))*24))-(INT(15.04167*(TIME(0,min_r,$K17)*24))))*60</f>
        <v>34.00504149999996</v>
      </c>
      <c r="P17" s="288">
        <f>INT(14.31667*(TIME(0,min_r,$K17)*24))</f>
        <v>12</v>
      </c>
      <c r="Q17" s="289">
        <f>((14.31667*((TIME(0,min_r,$K17))*24))-(INT(14.31667*(TIME(0,min_r,$K17)*24))))*60</f>
        <v>54.770458166666636</v>
      </c>
      <c r="R17" s="297">
        <v>2.1</v>
      </c>
      <c r="S17" s="298">
        <f>R17/60*min_r</f>
        <v>1.8900000000000001</v>
      </c>
      <c r="T17" s="299"/>
    </row>
    <row r="18" spans="1:20" ht="15">
      <c r="A18" s="273"/>
      <c r="B18" s="296">
        <v>8</v>
      </c>
      <c r="C18" s="288">
        <f>INT(15*(TIME(0,min_l,$B18)*24))</f>
        <v>13</v>
      </c>
      <c r="D18" s="289">
        <f>((15*((TIME(0,min_l,$B18))*24))-(INT(15*(TIME(0,min_l,$B18)*24))))*60</f>
        <v>16.999999999999886</v>
      </c>
      <c r="E18" s="288">
        <f>INT(15.0410844436191*(TIME(0,min_l,$B18)*24))</f>
        <v>13</v>
      </c>
      <c r="F18" s="289">
        <f>((15.04167*((TIME(0,min_l,$B18))*24))-(INT(15.04167*(TIME(0,min_l,$B18)*24))))*60</f>
        <v>19.214065999999868</v>
      </c>
      <c r="G18" s="288">
        <f>INT(14.31667*(TIME(0,min_l,$B18)*24))</f>
        <v>12</v>
      </c>
      <c r="H18" s="289">
        <f>((14.31667*((TIME(0,min_l,$B18))*24))-(INT(14.31667*(TIME(0,min_l,$B18)*24))))*60</f>
        <v>40.69239933333325</v>
      </c>
      <c r="I18" s="297">
        <v>2.4</v>
      </c>
      <c r="J18" s="295">
        <f>I18/60*min_l</f>
        <v>2.12</v>
      </c>
      <c r="K18" s="296">
        <v>8</v>
      </c>
      <c r="L18" s="288">
        <f>INT(15*(TIME(0,min_r,$K18)*24))</f>
        <v>13</v>
      </c>
      <c r="M18" s="289">
        <f>((15*((TIME(0,min_r,$K18))*24))-(INT(15*(TIME(0,min_r,$K18)*24))))*60</f>
        <v>31.999999999999993</v>
      </c>
      <c r="N18" s="288">
        <f>INT(15.0410844436191*(TIME(0,min_r,$K18)*24))</f>
        <v>13</v>
      </c>
      <c r="O18" s="289">
        <f>((15.04167*((TIME(0,min_r,$K18))*24))-(INT(15.04167*(TIME(0,min_r,$K18)*24))))*60</f>
        <v>34.25573600000007</v>
      </c>
      <c r="P18" s="288">
        <f>INT(14.31667*(TIME(0,min_r,$K18)*24))</f>
        <v>12</v>
      </c>
      <c r="Q18" s="289">
        <f>((14.31667*((TIME(0,min_r,$K18))*24))-(INT(14.31667*(TIME(0,min_r,$K18)*24))))*60</f>
        <v>55.009069333333365</v>
      </c>
      <c r="R18" s="297">
        <v>2.4</v>
      </c>
      <c r="S18" s="298">
        <f>R18/60*min_r</f>
        <v>2.16</v>
      </c>
      <c r="T18" s="299"/>
    </row>
    <row r="19" spans="1:20" ht="15">
      <c r="A19" s="273"/>
      <c r="B19" s="296">
        <v>9</v>
      </c>
      <c r="C19" s="288">
        <f>INT(15*(TIME(0,min_l,$B19)*24))</f>
        <v>13</v>
      </c>
      <c r="D19" s="289">
        <f>((15*((TIME(0,min_l,$B19))*24))-(INT(15*(TIME(0,min_l,$B19)*24))))*60</f>
        <v>17.250000000000085</v>
      </c>
      <c r="E19" s="288">
        <f>INT(15.0410844436191*(TIME(0,min_l,$B19)*24))</f>
        <v>13</v>
      </c>
      <c r="F19" s="289">
        <f>((15.04167*((TIME(0,min_l,$B19))*24))-(INT(15.04167*(TIME(0,min_l,$B19)*24))))*60</f>
        <v>19.464760500000082</v>
      </c>
      <c r="G19" s="288">
        <f>INT(14.31667*(TIME(0,min_l,$B19)*24))</f>
        <v>12</v>
      </c>
      <c r="H19" s="289">
        <f>((14.31667*((TIME(0,min_l,$B19))*24))-(INT(14.31667*(TIME(0,min_l,$B19)*24))))*60</f>
        <v>40.931010500000085</v>
      </c>
      <c r="I19" s="297">
        <v>2.6999999999999997</v>
      </c>
      <c r="J19" s="295">
        <f>I19/60*min_l</f>
        <v>2.385</v>
      </c>
      <c r="K19" s="296">
        <v>9</v>
      </c>
      <c r="L19" s="288">
        <f>INT(15*(TIME(0,min_r,$K19)*24))</f>
        <v>13</v>
      </c>
      <c r="M19" s="289">
        <f>((15*((TIME(0,min_r,$K19))*24))-(INT(15*(TIME(0,min_r,$K19)*24))))*60</f>
        <v>32.250000000000085</v>
      </c>
      <c r="N19" s="288">
        <f>INT(15.0410844436191*(TIME(0,min_r,$K19)*24))</f>
        <v>13</v>
      </c>
      <c r="O19" s="289">
        <f>((15.04167*((TIME(0,min_r,$K19))*24))-(INT(15.04167*(TIME(0,min_r,$K19)*24))))*60</f>
        <v>34.50643050000007</v>
      </c>
      <c r="P19" s="288">
        <f>INT(14.31667*(TIME(0,min_r,$K19)*24))</f>
        <v>12</v>
      </c>
      <c r="Q19" s="289">
        <f>((14.31667*((TIME(0,min_r,$K19))*24))-(INT(14.31667*(TIME(0,min_r,$K19)*24))))*60</f>
        <v>55.247680500000094</v>
      </c>
      <c r="R19" s="297">
        <v>2.6999999999999997</v>
      </c>
      <c r="S19" s="298">
        <f>R19/60*min_r</f>
        <v>2.4299999999999997</v>
      </c>
      <c r="T19" s="299"/>
    </row>
    <row r="20" spans="1:20" ht="6.75" customHeight="1">
      <c r="A20" s="273"/>
      <c r="B20" s="296"/>
      <c r="C20" s="288"/>
      <c r="D20" s="289"/>
      <c r="E20" s="288"/>
      <c r="F20" s="289"/>
      <c r="G20" s="288"/>
      <c r="H20" s="289"/>
      <c r="I20" s="297"/>
      <c r="J20" s="295"/>
      <c r="K20" s="296"/>
      <c r="L20" s="288"/>
      <c r="M20" s="289"/>
      <c r="N20" s="288"/>
      <c r="O20" s="289"/>
      <c r="P20" s="288"/>
      <c r="Q20" s="289"/>
      <c r="R20" s="297"/>
      <c r="S20" s="298"/>
      <c r="T20" s="299"/>
    </row>
    <row r="21" spans="1:20" ht="15">
      <c r="A21" s="273"/>
      <c r="B21" s="296">
        <v>10</v>
      </c>
      <c r="C21" s="288">
        <f>INT(15*(TIME(0,min_l,$B21)*24))</f>
        <v>13</v>
      </c>
      <c r="D21" s="289">
        <f>((15*((TIME(0,min_l,$B21))*24))-(INT(15*(TIME(0,min_l,$B21)*24))))*60</f>
        <v>17.499999999999964</v>
      </c>
      <c r="E21" s="288">
        <f>INT(15.0410844436191*(TIME(0,min_l,$B21)*24))</f>
        <v>13</v>
      </c>
      <c r="F21" s="289">
        <f>((15.04167*((TIME(0,min_l,$B21))*24))-(INT(15.04167*(TIME(0,min_l,$B21)*24))))*60</f>
        <v>19.715454999999977</v>
      </c>
      <c r="G21" s="288">
        <f>INT(14.31667*(TIME(0,min_l,$B21)*24))</f>
        <v>12</v>
      </c>
      <c r="H21" s="289">
        <f>((14.31667*((TIME(0,min_l,$B21))*24))-(INT(14.31667*(TIME(0,min_l,$B21)*24))))*60</f>
        <v>41.1696216666666</v>
      </c>
      <c r="I21" s="297">
        <v>2.9999999999999996</v>
      </c>
      <c r="J21" s="295">
        <f>I21/60*min_l</f>
        <v>2.65</v>
      </c>
      <c r="K21" s="296">
        <v>10</v>
      </c>
      <c r="L21" s="288">
        <f>INT(15*(TIME(0,min_r,$K21)*24))</f>
        <v>13</v>
      </c>
      <c r="M21" s="289">
        <f>((15*((TIME(0,min_r,$K21))*24))-(INT(15*(TIME(0,min_r,$K21)*24))))*60</f>
        <v>32.499999999999964</v>
      </c>
      <c r="N21" s="288">
        <f>INT(15.0410844436191*(TIME(0,min_r,$K21)*24))</f>
        <v>13</v>
      </c>
      <c r="O21" s="289">
        <f>((15.04167*((TIME(0,min_r,$K21))*24))-(INT(15.04167*(TIME(0,min_r,$K21)*24))))*60</f>
        <v>34.75712499999997</v>
      </c>
      <c r="P21" s="288">
        <f>INT(14.31667*(TIME(0,min_r,$K21)*24))</f>
        <v>12</v>
      </c>
      <c r="Q21" s="289">
        <f>((14.31667*((TIME(0,min_r,$K21))*24))-(INT(14.31667*(TIME(0,min_r,$K21)*24))))*60</f>
        <v>55.486291666666716</v>
      </c>
      <c r="R21" s="297">
        <v>2.9999999999999996</v>
      </c>
      <c r="S21" s="298">
        <f>R21/60*min_r</f>
        <v>2.6999999999999997</v>
      </c>
      <c r="T21" s="299"/>
    </row>
    <row r="22" spans="1:20" ht="15">
      <c r="A22" s="273"/>
      <c r="B22" s="296">
        <v>11</v>
      </c>
      <c r="C22" s="288">
        <f>INT(15*(TIME(0,min_l,$B22)*24))</f>
        <v>13</v>
      </c>
      <c r="D22" s="289">
        <f>((15*((TIME(0,min_l,$B22))*24))-(INT(15*(TIME(0,min_l,$B22)*24))))*60</f>
        <v>17.74999999999995</v>
      </c>
      <c r="E22" s="288">
        <f>INT(15.0410844436191*(TIME(0,min_l,$B22)*24))</f>
        <v>13</v>
      </c>
      <c r="F22" s="289">
        <f>((15.04167*((TIME(0,min_l,$B22))*24))-(INT(15.04167*(TIME(0,min_l,$B22)*24))))*60</f>
        <v>19.966149499999872</v>
      </c>
      <c r="G22" s="288">
        <f>INT(14.31667*(TIME(0,min_l,$B22)*24))</f>
        <v>12</v>
      </c>
      <c r="H22" s="289">
        <f>((14.31667*((TIME(0,min_l,$B22))*24))-(INT(14.31667*(TIME(0,min_l,$B22)*24))))*60</f>
        <v>41.40823283333322</v>
      </c>
      <c r="I22" s="297">
        <v>3.2999999999999994</v>
      </c>
      <c r="J22" s="295">
        <f>I22/60*min_l</f>
        <v>2.914999999999999</v>
      </c>
      <c r="K22" s="296">
        <v>11</v>
      </c>
      <c r="L22" s="288">
        <f>INT(15*(TIME(0,min_r,$K22)*24))</f>
        <v>13</v>
      </c>
      <c r="M22" s="289">
        <f>((15*((TIME(0,min_r,$K22))*24))-(INT(15*(TIME(0,min_r,$K22)*24))))*60</f>
        <v>32.74999999999995</v>
      </c>
      <c r="N22" s="288">
        <f>INT(15.0410844436191*(TIME(0,min_r,$K22)*24))</f>
        <v>13</v>
      </c>
      <c r="O22" s="289">
        <f>((15.04167*((TIME(0,min_r,$K22))*24))-(INT(15.04167*(TIME(0,min_r,$K22)*24))))*60</f>
        <v>35.00781949999997</v>
      </c>
      <c r="P22" s="288">
        <f>INT(14.31667*(TIME(0,min_r,$K22)*24))</f>
        <v>12</v>
      </c>
      <c r="Q22" s="289">
        <f>((14.31667*((TIME(0,min_r,$K22))*24))-(INT(14.31667*(TIME(0,min_r,$K22)*24))))*60</f>
        <v>55.72490283333334</v>
      </c>
      <c r="R22" s="297">
        <v>3.2999999999999994</v>
      </c>
      <c r="S22" s="298">
        <f>R22/60*min_r</f>
        <v>2.9699999999999993</v>
      </c>
      <c r="T22" s="299"/>
    </row>
    <row r="23" spans="1:20" ht="15">
      <c r="A23" s="273"/>
      <c r="B23" s="296">
        <v>12</v>
      </c>
      <c r="C23" s="288">
        <f>INT(15*(TIME(0,min_l,$B23)*24))</f>
        <v>13</v>
      </c>
      <c r="D23" s="289">
        <f>((15*((TIME(0,min_l,$B23))*24))-(INT(15*(TIME(0,min_l,$B23)*24))))*60</f>
        <v>18.000000000000043</v>
      </c>
      <c r="E23" s="288">
        <f>INT(15.0410844436191*(TIME(0,min_l,$B23)*24))</f>
        <v>13</v>
      </c>
      <c r="F23" s="289">
        <f>((15.04167*((TIME(0,min_l,$B23))*24))-(INT(15.04167*(TIME(0,min_l,$B23)*24))))*60</f>
        <v>20.216844000000087</v>
      </c>
      <c r="G23" s="288">
        <f>INT(14.31667*(TIME(0,min_l,$B23)*24))</f>
        <v>12</v>
      </c>
      <c r="H23" s="289">
        <f>((14.31667*((TIME(0,min_l,$B23))*24))-(INT(14.31667*(TIME(0,min_l,$B23)*24))))*60</f>
        <v>41.64684400000006</v>
      </c>
      <c r="I23" s="297">
        <v>3.599999999999999</v>
      </c>
      <c r="J23" s="295">
        <f>I23/60*min_l</f>
        <v>3.1799999999999993</v>
      </c>
      <c r="K23" s="296">
        <v>12</v>
      </c>
      <c r="L23" s="288">
        <f>INT(15*(TIME(0,min_r,$K23)*24))</f>
        <v>13</v>
      </c>
      <c r="M23" s="289">
        <f>((15*((TIME(0,min_r,$K23))*24))-(INT(15*(TIME(0,min_r,$K23)*24))))*60</f>
        <v>33.00000000000015</v>
      </c>
      <c r="N23" s="288">
        <f>INT(15.0410844436191*(TIME(0,min_r,$K23)*24))</f>
        <v>13</v>
      </c>
      <c r="O23" s="289">
        <f>((15.04167*((TIME(0,min_r,$K23))*24))-(INT(15.04167*(TIME(0,min_r,$K23)*24))))*60</f>
        <v>35.25851400000018</v>
      </c>
      <c r="P23" s="288">
        <f>INT(14.31667*(TIME(0,min_r,$K23)*24))</f>
        <v>12</v>
      </c>
      <c r="Q23" s="289">
        <f>((14.31667*((TIME(0,min_r,$K23))*24))-(INT(14.31667*(TIME(0,min_r,$K23)*24))))*60</f>
        <v>55.963514000000174</v>
      </c>
      <c r="R23" s="297">
        <v>3.599999999999999</v>
      </c>
      <c r="S23" s="298">
        <f>R23/60*min_r</f>
        <v>3.2399999999999993</v>
      </c>
      <c r="T23" s="299"/>
    </row>
    <row r="24" spans="1:20" ht="15">
      <c r="A24" s="273"/>
      <c r="B24" s="296">
        <v>13</v>
      </c>
      <c r="C24" s="288">
        <f>INT(15*(TIME(0,min_l,$B24)*24))</f>
        <v>13</v>
      </c>
      <c r="D24" s="289">
        <f>((15*((TIME(0,min_l,$B24))*24))-(INT(15*(TIME(0,min_l,$B24)*24))))*60</f>
        <v>18.25000000000003</v>
      </c>
      <c r="E24" s="288">
        <f>INT(15.0410844436191*(TIME(0,min_l,$B24)*24))</f>
        <v>13</v>
      </c>
      <c r="F24" s="289">
        <f>((15.04167*((TIME(0,min_l,$B24))*24))-(INT(15.04167*(TIME(0,min_l,$B24)*24))))*60</f>
        <v>20.46753850000009</v>
      </c>
      <c r="G24" s="288">
        <f>INT(14.31667*(TIME(0,min_l,$B24)*24))</f>
        <v>12</v>
      </c>
      <c r="H24" s="289">
        <f>((14.31667*((TIME(0,min_l,$B24))*24))-(INT(14.31667*(TIME(0,min_l,$B24)*24))))*60</f>
        <v>41.88545516666679</v>
      </c>
      <c r="I24" s="297">
        <v>3.899999999999999</v>
      </c>
      <c r="J24" s="295">
        <f>I24/60*min_l</f>
        <v>3.4449999999999994</v>
      </c>
      <c r="K24" s="296">
        <v>13</v>
      </c>
      <c r="L24" s="288">
        <f>INT(15*(TIME(0,min_r,$K24)*24))</f>
        <v>13</v>
      </c>
      <c r="M24" s="289">
        <f>((15*((TIME(0,min_r,$K24))*24))-(INT(15*(TIME(0,min_r,$K24)*24))))*60</f>
        <v>33.25000000000003</v>
      </c>
      <c r="N24" s="288">
        <f>INT(15.0410844436191*(TIME(0,min_r,$K24)*24))</f>
        <v>13</v>
      </c>
      <c r="O24" s="289">
        <f>((15.04167*((TIME(0,min_r,$K24))*24))-(INT(15.04167*(TIME(0,min_r,$K24)*24))))*60</f>
        <v>35.50920849999997</v>
      </c>
      <c r="P24" s="288">
        <f>INT(14.31667*(TIME(0,min_r,$K24)*24))</f>
        <v>12</v>
      </c>
      <c r="Q24" s="289">
        <f>((14.31667*((TIME(0,min_r,$K24))*24))-(INT(14.31667*(TIME(0,min_r,$K24)*24))))*60</f>
        <v>56.20212516666669</v>
      </c>
      <c r="R24" s="297">
        <v>3.899999999999999</v>
      </c>
      <c r="S24" s="298">
        <f>R24/60*min_r</f>
        <v>3.5099999999999993</v>
      </c>
      <c r="T24" s="299"/>
    </row>
    <row r="25" spans="1:20" ht="15">
      <c r="A25" s="273"/>
      <c r="B25" s="296">
        <v>14</v>
      </c>
      <c r="C25" s="288">
        <f>INT(15*(TIME(0,min_l,$B25)*24))</f>
        <v>13</v>
      </c>
      <c r="D25" s="289">
        <f>((15*((TIME(0,min_l,$B25))*24))-(INT(15*(TIME(0,min_l,$B25)*24))))*60</f>
        <v>18.500000000000014</v>
      </c>
      <c r="E25" s="288">
        <f>INT(15.0410844436191*(TIME(0,min_l,$B25)*24))</f>
        <v>13</v>
      </c>
      <c r="F25" s="289">
        <f>((15.04167*((TIME(0,min_l,$B25))*24))-(INT(15.04167*(TIME(0,min_l,$B25)*24))))*60</f>
        <v>20.718232999999984</v>
      </c>
      <c r="G25" s="288">
        <f>INT(14.31667*(TIME(0,min_l,$B25)*24))</f>
        <v>12</v>
      </c>
      <c r="H25" s="289">
        <f>((14.31667*((TIME(0,min_l,$B25))*24))-(INT(14.31667*(TIME(0,min_l,$B25)*24))))*60</f>
        <v>42.12406633333341</v>
      </c>
      <c r="I25" s="297">
        <v>4.199999999999999</v>
      </c>
      <c r="J25" s="295">
        <f>I25/60*min_l</f>
        <v>3.7099999999999995</v>
      </c>
      <c r="K25" s="296">
        <v>14</v>
      </c>
      <c r="L25" s="288">
        <f>INT(15*(TIME(0,min_r,$K25)*24))</f>
        <v>13</v>
      </c>
      <c r="M25" s="289">
        <f>((15*((TIME(0,min_r,$K25))*24))-(INT(15*(TIME(0,min_r,$K25)*24))))*60</f>
        <v>33.500000000000014</v>
      </c>
      <c r="N25" s="288">
        <f>INT(15.0410844436191*(TIME(0,min_r,$K25)*24))</f>
        <v>13</v>
      </c>
      <c r="O25" s="289">
        <f>((15.04167*((TIME(0,min_r,$K25))*24))-(INT(15.04167*(TIME(0,min_r,$K25)*24))))*60</f>
        <v>35.75990299999997</v>
      </c>
      <c r="P25" s="288">
        <f>INT(14.31667*(TIME(0,min_r,$K25)*24))</f>
        <v>12</v>
      </c>
      <c r="Q25" s="289">
        <f>((14.31667*((TIME(0,min_r,$K25))*24))-(INT(14.31667*(TIME(0,min_r,$K25)*24))))*60</f>
        <v>56.44073633333331</v>
      </c>
      <c r="R25" s="297">
        <v>4.199999999999999</v>
      </c>
      <c r="S25" s="298">
        <f>R25/60*min_r</f>
        <v>3.78</v>
      </c>
      <c r="T25" s="299"/>
    </row>
    <row r="26" spans="1:20" ht="6.75" customHeight="1">
      <c r="A26" s="273"/>
      <c r="B26" s="296"/>
      <c r="C26" s="288"/>
      <c r="D26" s="289"/>
      <c r="E26" s="288"/>
      <c r="F26" s="289"/>
      <c r="G26" s="288"/>
      <c r="H26" s="289"/>
      <c r="I26" s="297"/>
      <c r="J26" s="295"/>
      <c r="K26" s="296"/>
      <c r="L26" s="288"/>
      <c r="M26" s="289"/>
      <c r="N26" s="288"/>
      <c r="O26" s="289"/>
      <c r="P26" s="288"/>
      <c r="Q26" s="289"/>
      <c r="R26" s="297"/>
      <c r="S26" s="298"/>
      <c r="T26" s="299"/>
    </row>
    <row r="27" spans="1:20" ht="15">
      <c r="A27" s="273"/>
      <c r="B27" s="296">
        <v>15</v>
      </c>
      <c r="C27" s="288">
        <f>INT(15*(TIME(0,min_l,$B27)*24))</f>
        <v>13</v>
      </c>
      <c r="D27" s="289">
        <f>((15*((TIME(0,min_l,$B27))*24))-(INT(15*(TIME(0,min_l,$B27)*24))))*60</f>
        <v>18.75</v>
      </c>
      <c r="E27" s="288">
        <f>INT(15.0410844436191*(TIME(0,min_l,$B27)*24))</f>
        <v>13</v>
      </c>
      <c r="F27" s="289">
        <f>((15.04167*((TIME(0,min_l,$B27))*24))-(INT(15.04167*(TIME(0,min_l,$B27)*24))))*60</f>
        <v>20.968927499999985</v>
      </c>
      <c r="G27" s="288">
        <f>INT(14.31667*(TIME(0,min_l,$B27)*24))</f>
        <v>12</v>
      </c>
      <c r="H27" s="289">
        <f>((14.31667*((TIME(0,min_l,$B27))*24))-(INT(14.31667*(TIME(0,min_l,$B27)*24))))*60</f>
        <v>42.362677499999926</v>
      </c>
      <c r="I27" s="297">
        <v>4.499999999999999</v>
      </c>
      <c r="J27" s="295">
        <f>I27/60*min_l</f>
        <v>3.974999999999999</v>
      </c>
      <c r="K27" s="296">
        <v>15</v>
      </c>
      <c r="L27" s="288">
        <f>INT(15*(TIME(0,min_r,$K27)*24))</f>
        <v>13</v>
      </c>
      <c r="M27" s="289">
        <f>((15*((TIME(0,min_r,$K27))*24))-(INT(15*(TIME(0,min_r,$K27)*24))))*60</f>
        <v>33.74999999999989</v>
      </c>
      <c r="N27" s="288">
        <f>INT(15.0410844436191*(TIME(0,min_r,$K27)*24))</f>
        <v>13</v>
      </c>
      <c r="O27" s="289">
        <f>((15.04167*((TIME(0,min_r,$K27))*24))-(INT(15.04167*(TIME(0,min_r,$K27)*24))))*60</f>
        <v>36.01059749999987</v>
      </c>
      <c r="P27" s="288">
        <f>INT(14.31667*(TIME(0,min_r,$K27)*24))</f>
        <v>12</v>
      </c>
      <c r="Q27" s="289">
        <f>((14.31667*((TIME(0,min_r,$K27))*24))-(INT(14.31667*(TIME(0,min_r,$K27)*24))))*60</f>
        <v>56.679347499999935</v>
      </c>
      <c r="R27" s="297">
        <v>4.499999999999999</v>
      </c>
      <c r="S27" s="298">
        <f>R27/60*min_r</f>
        <v>4.049999999999999</v>
      </c>
      <c r="T27" s="299"/>
    </row>
    <row r="28" spans="1:20" ht="15">
      <c r="A28" s="273"/>
      <c r="B28" s="296">
        <v>16</v>
      </c>
      <c r="C28" s="288">
        <f>INT(15*(TIME(0,min_l,$B28)*24))</f>
        <v>13</v>
      </c>
      <c r="D28" s="289">
        <f>((15*((TIME(0,min_l,$B28))*24))-(INT(15*(TIME(0,min_l,$B28)*24))))*60</f>
        <v>18.999999999999986</v>
      </c>
      <c r="E28" s="288">
        <f>INT(15.0410844436191*(TIME(0,min_l,$B28)*24))</f>
        <v>13</v>
      </c>
      <c r="F28" s="289">
        <f>((15.04167*((TIME(0,min_l,$B28))*24))-(INT(15.04167*(TIME(0,min_l,$B28)*24))))*60</f>
        <v>21.219621999999987</v>
      </c>
      <c r="G28" s="288">
        <f>INT(14.31667*(TIME(0,min_l,$B28)*24))</f>
        <v>12</v>
      </c>
      <c r="H28" s="289">
        <f>((14.31667*((TIME(0,min_l,$B28))*24))-(INT(14.31667*(TIME(0,min_l,$B28)*24))))*60</f>
        <v>42.601288666666655</v>
      </c>
      <c r="I28" s="297">
        <v>4.799999999999999</v>
      </c>
      <c r="J28" s="295">
        <f>I28/60*min_l</f>
        <v>4.239999999999999</v>
      </c>
      <c r="K28" s="296">
        <v>16</v>
      </c>
      <c r="L28" s="288">
        <f>INT(15*(TIME(0,min_r,$K28)*24))</f>
        <v>13</v>
      </c>
      <c r="M28" s="289">
        <f>((15*((TIME(0,min_r,$K28))*24))-(INT(15*(TIME(0,min_r,$K28)*24))))*60</f>
        <v>33.999999999999986</v>
      </c>
      <c r="N28" s="288">
        <f>INT(15.0410844436191*(TIME(0,min_r,$K28)*24))</f>
        <v>13</v>
      </c>
      <c r="O28" s="289">
        <f>((15.04167*((TIME(0,min_r,$K28))*24))-(INT(15.04167*(TIME(0,min_r,$K28)*24))))*60</f>
        <v>36.261291999999976</v>
      </c>
      <c r="P28" s="288">
        <f>INT(14.31667*(TIME(0,min_r,$K28)*24))</f>
        <v>12</v>
      </c>
      <c r="Q28" s="289">
        <f>((14.31667*((TIME(0,min_r,$K28))*24))-(INT(14.31667*(TIME(0,min_r,$K28)*24))))*60</f>
        <v>56.917958666666664</v>
      </c>
      <c r="R28" s="297">
        <v>4.799999999999999</v>
      </c>
      <c r="S28" s="298">
        <f>R28/60*min_r</f>
        <v>4.319999999999999</v>
      </c>
      <c r="T28" s="299"/>
    </row>
    <row r="29" spans="1:20" ht="15">
      <c r="A29" s="273"/>
      <c r="B29" s="296">
        <v>17</v>
      </c>
      <c r="C29" s="288">
        <f>INT(15*(TIME(0,min_l,$B29)*24))</f>
        <v>13</v>
      </c>
      <c r="D29" s="289">
        <f>((15*((TIME(0,min_l,$B29))*24))-(INT(15*(TIME(0,min_l,$B29)*24))))*60</f>
        <v>19.250000000000078</v>
      </c>
      <c r="E29" s="288">
        <f>INT(15.0410844436191*(TIME(0,min_l,$B29)*24))</f>
        <v>13</v>
      </c>
      <c r="F29" s="289">
        <f>((15.04167*((TIME(0,min_l,$B29))*24))-(INT(15.04167*(TIME(0,min_l,$B29)*24))))*60</f>
        <v>21.47031649999999</v>
      </c>
      <c r="G29" s="288">
        <f>INT(14.31667*(TIME(0,min_l,$B29)*24))</f>
        <v>12</v>
      </c>
      <c r="H29" s="289">
        <f>((14.31667*((TIME(0,min_l,$B29))*24))-(INT(14.31667*(TIME(0,min_l,$B29)*24))))*60</f>
        <v>42.839899833333384</v>
      </c>
      <c r="I29" s="297">
        <v>5.099999999999999</v>
      </c>
      <c r="J29" s="295">
        <f>I29/60*min_l</f>
        <v>4.504999999999999</v>
      </c>
      <c r="K29" s="296">
        <v>17</v>
      </c>
      <c r="L29" s="288">
        <f>INT(15*(TIME(0,min_r,$K29)*24))</f>
        <v>13</v>
      </c>
      <c r="M29" s="289">
        <f>((15*((TIME(0,min_r,$K29))*24))-(INT(15*(TIME(0,min_r,$K29)*24))))*60</f>
        <v>34.24999999999997</v>
      </c>
      <c r="N29" s="288">
        <f>INT(15.0410844436191*(TIME(0,min_r,$K29)*24))</f>
        <v>13</v>
      </c>
      <c r="O29" s="289">
        <f>((15.04167*((TIME(0,min_r,$K29))*24))-(INT(15.04167*(TIME(0,min_r,$K29)*24))))*60</f>
        <v>36.51198649999998</v>
      </c>
      <c r="P29" s="288">
        <f>INT(14.31667*(TIME(0,min_r,$K29)*24))</f>
        <v>12</v>
      </c>
      <c r="Q29" s="289">
        <f>((14.31667*((TIME(0,min_r,$K29))*24))-(INT(14.31667*(TIME(0,min_r,$K29)*24))))*60</f>
        <v>57.156569833333286</v>
      </c>
      <c r="R29" s="297">
        <v>5.099999999999999</v>
      </c>
      <c r="S29" s="298">
        <f>R29/60*min_r</f>
        <v>4.589999999999999</v>
      </c>
      <c r="T29" s="299"/>
    </row>
    <row r="30" spans="1:20" ht="15">
      <c r="A30" s="273"/>
      <c r="B30" s="296">
        <v>18</v>
      </c>
      <c r="C30" s="288">
        <f>INT(15*(TIME(0,min_l,$B30)*24))</f>
        <v>13</v>
      </c>
      <c r="D30" s="289">
        <f>((15*((TIME(0,min_l,$B30))*24))-(INT(15*(TIME(0,min_l,$B30)*24))))*60</f>
        <v>19.499999999999957</v>
      </c>
      <c r="E30" s="288">
        <f>INT(15.0410844436191*(TIME(0,min_l,$B30)*24))</f>
        <v>13</v>
      </c>
      <c r="F30" s="289">
        <f>((15.04167*((TIME(0,min_l,$B30))*24))-(INT(15.04167*(TIME(0,min_l,$B30)*24))))*60</f>
        <v>21.72101099999999</v>
      </c>
      <c r="G30" s="288">
        <f>INT(14.31667*(TIME(0,min_l,$B30)*24))</f>
        <v>12</v>
      </c>
      <c r="H30" s="289">
        <f>((14.31667*((TIME(0,min_l,$B30))*24))-(INT(14.31667*(TIME(0,min_l,$B30)*24))))*60</f>
        <v>43.078511000000006</v>
      </c>
      <c r="I30" s="297">
        <v>5.399999999999999</v>
      </c>
      <c r="J30" s="295">
        <f>I30/60*min_l</f>
        <v>4.769999999999999</v>
      </c>
      <c r="K30" s="296">
        <v>18</v>
      </c>
      <c r="L30" s="288">
        <f>INT(15*(TIME(0,min_r,$K30)*24))</f>
        <v>13</v>
      </c>
      <c r="M30" s="289">
        <f>((15*((TIME(0,min_r,$K30))*24))-(INT(15*(TIME(0,min_r,$K30)*24))))*60</f>
        <v>34.49999999999996</v>
      </c>
      <c r="N30" s="288">
        <f>INT(15.0410844436191*(TIME(0,min_r,$K30)*24))</f>
        <v>13</v>
      </c>
      <c r="O30" s="289">
        <f>((15.04167*((TIME(0,min_r,$K30))*24))-(INT(15.04167*(TIME(0,min_r,$K30)*24))))*60</f>
        <v>36.76268099999987</v>
      </c>
      <c r="P30" s="288">
        <f>INT(14.31667*(TIME(0,min_r,$K30)*24))</f>
        <v>12</v>
      </c>
      <c r="Q30" s="289">
        <f>((14.31667*((TIME(0,min_r,$K30))*24))-(INT(14.31667*(TIME(0,min_r,$K30)*24))))*60</f>
        <v>57.39518099999991</v>
      </c>
      <c r="R30" s="297">
        <v>5.399999999999999</v>
      </c>
      <c r="S30" s="298">
        <f>R30/60*min_r</f>
        <v>4.859999999999999</v>
      </c>
      <c r="T30" s="299"/>
    </row>
    <row r="31" spans="1:20" ht="15">
      <c r="A31" s="273"/>
      <c r="B31" s="296">
        <v>19</v>
      </c>
      <c r="C31" s="288">
        <f>INT(15*(TIME(0,min_l,$B31)*24))</f>
        <v>13</v>
      </c>
      <c r="D31" s="289">
        <f>((15*((TIME(0,min_l,$B31))*24))-(INT(15*(TIME(0,min_l,$B31)*24))))*60</f>
        <v>19.749999999999943</v>
      </c>
      <c r="E31" s="288">
        <f>INT(15.0410844436191*(TIME(0,min_l,$B31)*24))</f>
        <v>13</v>
      </c>
      <c r="F31" s="289">
        <f>((15.04167*((TIME(0,min_l,$B31))*24))-(INT(15.04167*(TIME(0,min_l,$B31)*24))))*60</f>
        <v>21.971705499999885</v>
      </c>
      <c r="G31" s="288">
        <f>INT(14.31667*(TIME(0,min_l,$B31)*24))</f>
        <v>12</v>
      </c>
      <c r="H31" s="289">
        <f>((14.31667*((TIME(0,min_l,$B31))*24))-(INT(14.31667*(TIME(0,min_l,$B31)*24))))*60</f>
        <v>43.31712216666663</v>
      </c>
      <c r="I31" s="297">
        <v>5.699999999999998</v>
      </c>
      <c r="J31" s="295">
        <f>I31/60*min_l</f>
        <v>5.034999999999998</v>
      </c>
      <c r="K31" s="296">
        <v>19</v>
      </c>
      <c r="L31" s="288">
        <f>INT(15*(TIME(0,min_r,$K31)*24))</f>
        <v>13</v>
      </c>
      <c r="M31" s="289">
        <f>((15*((TIME(0,min_r,$K31))*24))-(INT(15*(TIME(0,min_r,$K31)*24))))*60</f>
        <v>34.75000000000005</v>
      </c>
      <c r="N31" s="288">
        <f>INT(15.0410844436191*(TIME(0,min_r,$K31)*24))</f>
        <v>13</v>
      </c>
      <c r="O31" s="289">
        <f>((15.04167*((TIME(0,min_r,$K31))*24))-(INT(15.04167*(TIME(0,min_r,$K31)*24))))*60</f>
        <v>37.01337550000009</v>
      </c>
      <c r="P31" s="288">
        <f>INT(14.31667*(TIME(0,min_r,$K31)*24))</f>
        <v>12</v>
      </c>
      <c r="Q31" s="289">
        <f>((14.31667*((TIME(0,min_r,$K31))*24))-(INT(14.31667*(TIME(0,min_r,$K31)*24))))*60</f>
        <v>57.633792166666744</v>
      </c>
      <c r="R31" s="297">
        <v>5.699999999999998</v>
      </c>
      <c r="S31" s="298">
        <f>R31/60*min_r</f>
        <v>5.129999999999999</v>
      </c>
      <c r="T31" s="299"/>
    </row>
    <row r="32" spans="1:20" ht="6.75" customHeight="1">
      <c r="A32" s="273"/>
      <c r="B32" s="296"/>
      <c r="C32" s="288"/>
      <c r="D32" s="289"/>
      <c r="E32" s="288"/>
      <c r="F32" s="289"/>
      <c r="G32" s="288"/>
      <c r="H32" s="289"/>
      <c r="I32" s="297"/>
      <c r="J32" s="295"/>
      <c r="K32" s="296"/>
      <c r="L32" s="288"/>
      <c r="M32" s="289"/>
      <c r="N32" s="288"/>
      <c r="O32" s="289"/>
      <c r="P32" s="288"/>
      <c r="Q32" s="289"/>
      <c r="R32" s="297"/>
      <c r="S32" s="298"/>
      <c r="T32" s="299"/>
    </row>
    <row r="33" spans="1:20" ht="15">
      <c r="A33" s="273"/>
      <c r="B33" s="296">
        <v>20</v>
      </c>
      <c r="C33" s="288">
        <f>INT(15*(TIME(0,min_l,$B33)*24))</f>
        <v>13</v>
      </c>
      <c r="D33" s="289">
        <f>((15*((TIME(0,min_l,$B33))*24))-(INT(15*(TIME(0,min_l,$B33)*24))))*60</f>
        <v>20.000000000000142</v>
      </c>
      <c r="E33" s="288">
        <f>INT(15.0410844436191*(TIME(0,min_l,$B33)*24))</f>
        <v>13</v>
      </c>
      <c r="F33" s="289">
        <f>((15.04167*((TIME(0,min_l,$B33))*24))-(INT(15.04167*(TIME(0,min_l,$B33)*24))))*60</f>
        <v>22.2224000000001</v>
      </c>
      <c r="G33" s="288">
        <f>INT(14.31667*(TIME(0,min_l,$B33)*24))</f>
        <v>12</v>
      </c>
      <c r="H33" s="289">
        <f>((14.31667*((TIME(0,min_l,$B33))*24))-(INT(14.31667*(TIME(0,min_l,$B33)*24))))*60</f>
        <v>43.555733333333464</v>
      </c>
      <c r="I33" s="297">
        <v>5.999999999999998</v>
      </c>
      <c r="J33" s="295">
        <f>I33/60*min_l</f>
        <v>5.299999999999998</v>
      </c>
      <c r="K33" s="296">
        <v>20</v>
      </c>
      <c r="L33" s="288">
        <f>INT(15*(TIME(0,min_r,$K33)*24))</f>
        <v>13</v>
      </c>
      <c r="M33" s="289">
        <f>((15*((TIME(0,min_r,$K33))*24))-(INT(15*(TIME(0,min_r,$K33)*24))))*60</f>
        <v>35.00000000000014</v>
      </c>
      <c r="N33" s="288">
        <f>INT(15.0410844436191*(TIME(0,min_r,$K33)*24))</f>
        <v>13</v>
      </c>
      <c r="O33" s="289">
        <f>((15.04167*((TIME(0,min_r,$K33))*24))-(INT(15.04167*(TIME(0,min_r,$K33)*24))))*60</f>
        <v>37.26407000000009</v>
      </c>
      <c r="P33" s="288">
        <f>INT(14.31667*(TIME(0,min_r,$K33)*24))</f>
        <v>12</v>
      </c>
      <c r="Q33" s="289">
        <f>((14.31667*((TIME(0,min_r,$K33))*24))-(INT(14.31667*(TIME(0,min_r,$K33)*24))))*60</f>
        <v>57.87240333333347</v>
      </c>
      <c r="R33" s="297">
        <v>5.999999999999998</v>
      </c>
      <c r="S33" s="298">
        <f>R33/60*min_r</f>
        <v>5.399999999999998</v>
      </c>
      <c r="T33" s="299"/>
    </row>
    <row r="34" spans="1:20" ht="15">
      <c r="A34" s="273"/>
      <c r="B34" s="296">
        <v>21</v>
      </c>
      <c r="C34" s="288">
        <f>INT(15*(TIME(0,min_l,$B34)*24))</f>
        <v>13</v>
      </c>
      <c r="D34" s="289">
        <f>((15*((TIME(0,min_l,$B34))*24))-(INT(15*(TIME(0,min_l,$B34)*24))))*60</f>
        <v>20.25000000000002</v>
      </c>
      <c r="E34" s="288">
        <f>INT(15.0410844436191*(TIME(0,min_l,$B34)*24))</f>
        <v>13</v>
      </c>
      <c r="F34" s="289">
        <f>((15.04167*((TIME(0,min_l,$B34))*24))-(INT(15.04167*(TIME(0,min_l,$B34)*24))))*60</f>
        <v>22.473094499999995</v>
      </c>
      <c r="G34" s="288">
        <f>INT(14.31667*(TIME(0,min_l,$B34)*24))</f>
        <v>12</v>
      </c>
      <c r="H34" s="289">
        <f>((14.31667*((TIME(0,min_l,$B34))*24))-(INT(14.31667*(TIME(0,min_l,$B34)*24))))*60</f>
        <v>43.79434449999998</v>
      </c>
      <c r="I34" s="297">
        <v>6.299999999999998</v>
      </c>
      <c r="J34" s="295">
        <f>I34/60*min_l</f>
        <v>5.564999999999999</v>
      </c>
      <c r="K34" s="296">
        <v>21</v>
      </c>
      <c r="L34" s="288">
        <f>INT(15*(TIME(0,min_r,$K34)*24))</f>
        <v>13</v>
      </c>
      <c r="M34" s="289">
        <f>((15*((TIME(0,min_r,$K34))*24))-(INT(15*(TIME(0,min_r,$K34)*24))))*60</f>
        <v>35.25000000000002</v>
      </c>
      <c r="N34" s="288">
        <f>INT(15.0410844436191*(TIME(0,min_r,$K34)*24))</f>
        <v>13</v>
      </c>
      <c r="O34" s="289">
        <f>((15.04167*((TIME(0,min_r,$K34))*24))-(INT(15.04167*(TIME(0,min_r,$K34)*24))))*60</f>
        <v>37.514764499999984</v>
      </c>
      <c r="P34" s="288">
        <f>INT(14.31667*(TIME(0,min_r,$K34)*24))</f>
        <v>12</v>
      </c>
      <c r="Q34" s="289">
        <f>((14.31667*((TIME(0,min_r,$K34))*24))-(INT(14.31667*(TIME(0,min_r,$K34)*24))))*60</f>
        <v>58.111014500000095</v>
      </c>
      <c r="R34" s="297">
        <v>6.299999999999998</v>
      </c>
      <c r="S34" s="298">
        <f>R34/60*min_r</f>
        <v>5.669999999999998</v>
      </c>
      <c r="T34" s="299"/>
    </row>
    <row r="35" spans="1:20" ht="15">
      <c r="A35" s="273"/>
      <c r="B35" s="296">
        <v>22</v>
      </c>
      <c r="C35" s="288">
        <f>INT(15*(TIME(0,min_l,$B35)*24))</f>
        <v>13</v>
      </c>
      <c r="D35" s="289">
        <f>((15*((TIME(0,min_l,$B35))*24))-(INT(15*(TIME(0,min_l,$B35)*24))))*60</f>
        <v>20.500000000000007</v>
      </c>
      <c r="E35" s="288">
        <f>INT(15.0410844436191*(TIME(0,min_l,$B35)*24))</f>
        <v>13</v>
      </c>
      <c r="F35" s="289">
        <f>((15.04167*((TIME(0,min_l,$B35))*24))-(INT(15.04167*(TIME(0,min_l,$B35)*24))))*60</f>
        <v>22.723788999999996</v>
      </c>
      <c r="G35" s="288">
        <f>INT(14.31667*(TIME(0,min_l,$B35)*24))</f>
        <v>12</v>
      </c>
      <c r="H35" s="289">
        <f>((14.31667*((TIME(0,min_l,$B35))*24))-(INT(14.31667*(TIME(0,min_l,$B35)*24))))*60</f>
        <v>44.03295566666671</v>
      </c>
      <c r="I35" s="297">
        <v>6.599999999999998</v>
      </c>
      <c r="J35" s="295">
        <f>I35/60*min_l</f>
        <v>5.829999999999997</v>
      </c>
      <c r="K35" s="296">
        <v>22</v>
      </c>
      <c r="L35" s="288">
        <f>INT(15*(TIME(0,min_r,$K35)*24))</f>
        <v>13</v>
      </c>
      <c r="M35" s="289">
        <f>((15*((TIME(0,min_r,$K35))*24))-(INT(15*(TIME(0,min_r,$K35)*24))))*60</f>
        <v>35.50000000000001</v>
      </c>
      <c r="N35" s="288">
        <f>INT(15.0410844436191*(TIME(0,min_r,$K35)*24))</f>
        <v>13</v>
      </c>
      <c r="O35" s="289">
        <f>((15.04167*((TIME(0,min_r,$K35))*24))-(INT(15.04167*(TIME(0,min_r,$K35)*24))))*60</f>
        <v>37.765458999999986</v>
      </c>
      <c r="P35" s="288">
        <f>INT(14.31667*(TIME(0,min_r,$K35)*24))</f>
        <v>12</v>
      </c>
      <c r="Q35" s="289">
        <f>((14.31667*((TIME(0,min_r,$K35))*24))-(INT(14.31667*(TIME(0,min_r,$K35)*24))))*60</f>
        <v>58.34962566666661</v>
      </c>
      <c r="R35" s="297">
        <v>6.599999999999998</v>
      </c>
      <c r="S35" s="298">
        <f>R35/60*min_r</f>
        <v>5.939999999999998</v>
      </c>
      <c r="T35" s="299"/>
    </row>
    <row r="36" spans="1:20" ht="15">
      <c r="A36" s="273"/>
      <c r="B36" s="296">
        <v>23</v>
      </c>
      <c r="C36" s="288">
        <f>INT(15*(TIME(0,min_l,$B36)*24))</f>
        <v>13</v>
      </c>
      <c r="D36" s="289">
        <f>((15*((TIME(0,min_l,$B36))*24))-(INT(15*(TIME(0,min_l,$B36)*24))))*60</f>
        <v>20.749999999999886</v>
      </c>
      <c r="E36" s="288">
        <f>INT(15.0410844436191*(TIME(0,min_l,$B36)*24))</f>
        <v>13</v>
      </c>
      <c r="F36" s="289">
        <f>((15.04167*((TIME(0,min_l,$B36))*24))-(INT(15.04167*(TIME(0,min_l,$B36)*24))))*60</f>
        <v>22.97448349999989</v>
      </c>
      <c r="G36" s="288">
        <f>INT(14.31667*(TIME(0,min_l,$B36)*24))</f>
        <v>12</v>
      </c>
      <c r="H36" s="289">
        <f>((14.31667*((TIME(0,min_l,$B36))*24))-(INT(14.31667*(TIME(0,min_l,$B36)*24))))*60</f>
        <v>44.271566833333225</v>
      </c>
      <c r="I36" s="297">
        <v>6.899999999999998</v>
      </c>
      <c r="J36" s="295">
        <f>I36/60*min_l</f>
        <v>6.094999999999998</v>
      </c>
      <c r="K36" s="296">
        <v>23</v>
      </c>
      <c r="L36" s="288">
        <f>INT(15*(TIME(0,min_r,$K36)*24))</f>
        <v>13</v>
      </c>
      <c r="M36" s="289">
        <f>((15*((TIME(0,min_r,$K36))*24))-(INT(15*(TIME(0,min_r,$K36)*24))))*60</f>
        <v>35.74999999999999</v>
      </c>
      <c r="N36" s="288">
        <f>INT(15.0410844436191*(TIME(0,min_r,$K36)*24))</f>
        <v>13</v>
      </c>
      <c r="O36" s="289">
        <f>((15.04167*((TIME(0,min_r,$K36))*24))-(INT(15.04167*(TIME(0,min_r,$K36)*24))))*60</f>
        <v>38.01615349999999</v>
      </c>
      <c r="P36" s="288">
        <f>INT(14.31667*(TIME(0,min_r,$K36)*24))</f>
        <v>12</v>
      </c>
      <c r="Q36" s="289">
        <f>((14.31667*((TIME(0,min_r,$K36))*24))-(INT(14.31667*(TIME(0,min_r,$K36)*24))))*60</f>
        <v>58.58823683333334</v>
      </c>
      <c r="R36" s="297">
        <v>6.899999999999998</v>
      </c>
      <c r="S36" s="298">
        <f>R36/60*min_r</f>
        <v>6.209999999999998</v>
      </c>
      <c r="T36" s="299"/>
    </row>
    <row r="37" spans="1:20" ht="15">
      <c r="A37" s="273"/>
      <c r="B37" s="296">
        <v>24</v>
      </c>
      <c r="C37" s="288">
        <f>INT(15*(TIME(0,min_l,$B37)*24))</f>
        <v>13</v>
      </c>
      <c r="D37" s="289">
        <f>((15*((TIME(0,min_l,$B37))*24))-(INT(15*(TIME(0,min_l,$B37)*24))))*60</f>
        <v>21.000000000000085</v>
      </c>
      <c r="E37" s="288">
        <f>INT(15.0410844436191*(TIME(0,min_l,$B37)*24))</f>
        <v>13</v>
      </c>
      <c r="F37" s="289">
        <f>((15.04167*((TIME(0,min_l,$B37))*24))-(INT(15.04167*(TIME(0,min_l,$B37)*24))))*60</f>
        <v>23.225178000000106</v>
      </c>
      <c r="G37" s="288">
        <f>INT(14.31667*(TIME(0,min_l,$B37)*24))</f>
        <v>12</v>
      </c>
      <c r="H37" s="289">
        <f>((14.31667*((TIME(0,min_l,$B37))*24))-(INT(14.31667*(TIME(0,min_l,$B37)*24))))*60</f>
        <v>44.51017800000017</v>
      </c>
      <c r="I37" s="297">
        <v>7.1999999999999975</v>
      </c>
      <c r="J37" s="295">
        <f>I37/60*min_l</f>
        <v>6.359999999999998</v>
      </c>
      <c r="K37" s="296">
        <v>24</v>
      </c>
      <c r="L37" s="288">
        <f>INT(15*(TIME(0,min_r,$K37)*24))</f>
        <v>13</v>
      </c>
      <c r="M37" s="289">
        <f>((15*((TIME(0,min_r,$K37))*24))-(INT(15*(TIME(0,min_r,$K37)*24))))*60</f>
        <v>36.000000000000085</v>
      </c>
      <c r="N37" s="288">
        <f>INT(15.0410844436191*(TIME(0,min_r,$K37)*24))</f>
        <v>13</v>
      </c>
      <c r="O37" s="289">
        <f>((15.04167*((TIME(0,min_r,$K37))*24))-(INT(15.04167*(TIME(0,min_r,$K37)*24))))*60</f>
        <v>38.266848000000095</v>
      </c>
      <c r="P37" s="288">
        <f>INT(14.31667*(TIME(0,min_r,$K37)*24))</f>
        <v>12</v>
      </c>
      <c r="Q37" s="289">
        <f>((14.31667*((TIME(0,min_r,$K37))*24))-(INT(14.31667*(TIME(0,min_r,$K37)*24))))*60</f>
        <v>58.82684800000007</v>
      </c>
      <c r="R37" s="297">
        <v>7.1999999999999975</v>
      </c>
      <c r="S37" s="298">
        <f>R37/60*min_r</f>
        <v>6.479999999999998</v>
      </c>
      <c r="T37" s="299"/>
    </row>
    <row r="38" spans="1:20" ht="6.75" customHeight="1">
      <c r="A38" s="273"/>
      <c r="B38" s="296"/>
      <c r="C38" s="288"/>
      <c r="D38" s="289"/>
      <c r="E38" s="288"/>
      <c r="F38" s="289"/>
      <c r="G38" s="288"/>
      <c r="H38" s="289"/>
      <c r="I38" s="297"/>
      <c r="J38" s="295"/>
      <c r="K38" s="296"/>
      <c r="L38" s="288"/>
      <c r="M38" s="289"/>
      <c r="N38" s="288"/>
      <c r="O38" s="289"/>
      <c r="P38" s="288"/>
      <c r="Q38" s="289"/>
      <c r="R38" s="297"/>
      <c r="S38" s="298"/>
      <c r="T38" s="299"/>
    </row>
    <row r="39" spans="1:20" ht="15">
      <c r="A39" s="273"/>
      <c r="B39" s="296">
        <v>25</v>
      </c>
      <c r="C39" s="288">
        <f>INT(15*(TIME(0,min_l,$B39)*24))</f>
        <v>13</v>
      </c>
      <c r="D39" s="289">
        <f>((15*((TIME(0,min_l,$B39))*24))-(INT(15*(TIME(0,min_l,$B39)*24))))*60</f>
        <v>21.249999999999964</v>
      </c>
      <c r="E39" s="288">
        <f>INT(15.0410844436191*(TIME(0,min_l,$B39)*24))</f>
        <v>13</v>
      </c>
      <c r="F39" s="289">
        <f>((15.04167*((TIME(0,min_l,$B39))*24))-(INT(15.04167*(TIME(0,min_l,$B39)*24))))*60</f>
        <v>23.475872499999895</v>
      </c>
      <c r="G39" s="288">
        <f>INT(14.31667*(TIME(0,min_l,$B39)*24))</f>
        <v>12</v>
      </c>
      <c r="H39" s="289">
        <f>((14.31667*((TIME(0,min_l,$B39))*24))-(INT(14.31667*(TIME(0,min_l,$B39)*24))))*60</f>
        <v>44.74878916666668</v>
      </c>
      <c r="I39" s="297">
        <v>7.499999999999997</v>
      </c>
      <c r="J39" s="295">
        <f>I39/60*min_l</f>
        <v>6.624999999999998</v>
      </c>
      <c r="K39" s="296">
        <v>25</v>
      </c>
      <c r="L39" s="288">
        <f>INT(15*(TIME(0,min_r,$K39)*24))</f>
        <v>13</v>
      </c>
      <c r="M39" s="289">
        <f>((15*((TIME(0,min_r,$K39))*24))-(INT(15*(TIME(0,min_r,$K39)*24))))*60</f>
        <v>36.249999999999964</v>
      </c>
      <c r="N39" s="288">
        <f>INT(15.0410844436191*(TIME(0,min_r,$K39)*24))</f>
        <v>13</v>
      </c>
      <c r="O39" s="289">
        <f>((15.04167*((TIME(0,min_r,$K39))*24))-(INT(15.04167*(TIME(0,min_r,$K39)*24))))*60</f>
        <v>38.51754249999999</v>
      </c>
      <c r="P39" s="288">
        <f>INT(14.31667*(TIME(0,min_r,$K39)*24))</f>
        <v>12</v>
      </c>
      <c r="Q39" s="289">
        <f>((14.31667*((TIME(0,min_r,$K39))*24))-(INT(14.31667*(TIME(0,min_r,$K39)*24))))*60</f>
        <v>59.06545916666669</v>
      </c>
      <c r="R39" s="297">
        <v>7.499999999999997</v>
      </c>
      <c r="S39" s="298">
        <f>R39/60*min_r</f>
        <v>6.749999999999997</v>
      </c>
      <c r="T39" s="299"/>
    </row>
    <row r="40" spans="1:20" ht="15">
      <c r="A40" s="273"/>
      <c r="B40" s="296">
        <v>26</v>
      </c>
      <c r="C40" s="288">
        <f>INT(15*(TIME(0,min_l,$B40)*24))</f>
        <v>13</v>
      </c>
      <c r="D40" s="289">
        <f>((15*((TIME(0,min_l,$B40))*24))-(INT(15*(TIME(0,min_l,$B40)*24))))*60</f>
        <v>21.49999999999995</v>
      </c>
      <c r="E40" s="288">
        <f>INT(15.0410844436191*(TIME(0,min_l,$B40)*24))</f>
        <v>13</v>
      </c>
      <c r="F40" s="289">
        <f>((15.04167*((TIME(0,min_l,$B40))*24))-(INT(15.04167*(TIME(0,min_l,$B40)*24))))*60</f>
        <v>23.726567000000003</v>
      </c>
      <c r="G40" s="288">
        <f>INT(14.31667*(TIME(0,min_l,$B40)*24))</f>
        <v>12</v>
      </c>
      <c r="H40" s="289">
        <f>((14.31667*((TIME(0,min_l,$B40))*24))-(INT(14.31667*(TIME(0,min_l,$B40)*24))))*60</f>
        <v>44.987400333333305</v>
      </c>
      <c r="I40" s="297">
        <v>7.799999999999997</v>
      </c>
      <c r="J40" s="295">
        <f>I40/60*min_l</f>
        <v>6.889999999999997</v>
      </c>
      <c r="K40" s="296">
        <v>26</v>
      </c>
      <c r="L40" s="288">
        <f>INT(15*(TIME(0,min_r,$K40)*24))</f>
        <v>13</v>
      </c>
      <c r="M40" s="289">
        <f>((15*((TIME(0,min_r,$K40))*24))-(INT(15*(TIME(0,min_r,$K40)*24))))*60</f>
        <v>36.49999999999995</v>
      </c>
      <c r="N40" s="288">
        <f>INT(15.0410844436191*(TIME(0,min_r,$K40)*24))</f>
        <v>13</v>
      </c>
      <c r="O40" s="289">
        <f>((15.04167*((TIME(0,min_r,$K40))*24))-(INT(15.04167*(TIME(0,min_r,$K40)*24))))*60</f>
        <v>38.768236999999885</v>
      </c>
      <c r="P40" s="288">
        <f>INT(14.31667*(TIME(0,min_r,$K40)*24))</f>
        <v>12</v>
      </c>
      <c r="Q40" s="289">
        <f>((14.31667*((TIME(0,min_r,$K40))*24))-(INT(14.31667*(TIME(0,min_r,$K40)*24))))*60</f>
        <v>59.304070333333314</v>
      </c>
      <c r="R40" s="297">
        <v>7.799999999999997</v>
      </c>
      <c r="S40" s="298">
        <f>R40/60*min_r</f>
        <v>7.019999999999997</v>
      </c>
      <c r="T40" s="299"/>
    </row>
    <row r="41" spans="1:20" ht="15">
      <c r="A41" s="273"/>
      <c r="B41" s="296">
        <v>27</v>
      </c>
      <c r="C41" s="288">
        <f>INT(15*(TIME(0,min_l,$B41)*24))</f>
        <v>13</v>
      </c>
      <c r="D41" s="289">
        <f>((15*((TIME(0,min_l,$B41))*24))-(INT(15*(TIME(0,min_l,$B41)*24))))*60</f>
        <v>21.750000000000043</v>
      </c>
      <c r="E41" s="288">
        <f>INT(15.0410844436191*(TIME(0,min_l,$B41)*24))</f>
        <v>13</v>
      </c>
      <c r="F41" s="289">
        <f>((15.04167*((TIME(0,min_l,$B41))*24))-(INT(15.04167*(TIME(0,min_l,$B41)*24))))*60</f>
        <v>23.977261500000004</v>
      </c>
      <c r="G41" s="288">
        <f>INT(14.31667*(TIME(0,min_l,$B41)*24))</f>
        <v>12</v>
      </c>
      <c r="H41" s="289">
        <f>((14.31667*((TIME(0,min_l,$B41))*24))-(INT(14.31667*(TIME(0,min_l,$B41)*24))))*60</f>
        <v>45.226011500000034</v>
      </c>
      <c r="I41" s="297">
        <v>8.099999999999998</v>
      </c>
      <c r="J41" s="295">
        <f>I41/60*min_l</f>
        <v>7.154999999999998</v>
      </c>
      <c r="K41" s="296">
        <v>27</v>
      </c>
      <c r="L41" s="288">
        <f>INT(15*(TIME(0,min_r,$K41)*24))</f>
        <v>13</v>
      </c>
      <c r="M41" s="289">
        <f>((15*((TIME(0,min_r,$K41))*24))-(INT(15*(TIME(0,min_r,$K41)*24))))*60</f>
        <v>36.75000000000015</v>
      </c>
      <c r="N41" s="288">
        <f>INT(15.0410844436191*(TIME(0,min_r,$K41)*24))</f>
        <v>13</v>
      </c>
      <c r="O41" s="289">
        <f>((15.04167*((TIME(0,min_r,$K41))*24))-(INT(15.04167*(TIME(0,min_r,$K41)*24))))*60</f>
        <v>39.01893150000021</v>
      </c>
      <c r="P41" s="288">
        <f>INT(14.31667*(TIME(0,min_r,$K41)*24))</f>
        <v>12</v>
      </c>
      <c r="Q41" s="289">
        <f>((14.31667*((TIME(0,min_r,$K41))*24))-(INT(14.31667*(TIME(0,min_r,$K41)*24))))*60</f>
        <v>59.54268150000015</v>
      </c>
      <c r="R41" s="297">
        <v>8.099999999999998</v>
      </c>
      <c r="S41" s="298">
        <f>R41/60*min_r</f>
        <v>7.289999999999997</v>
      </c>
      <c r="T41" s="299"/>
    </row>
    <row r="42" spans="1:20" ht="15">
      <c r="A42" s="273"/>
      <c r="B42" s="296">
        <v>28</v>
      </c>
      <c r="C42" s="288">
        <f>INT(15*(TIME(0,min_l,$B42)*24))</f>
        <v>13</v>
      </c>
      <c r="D42" s="289">
        <f>((15*((TIME(0,min_l,$B42))*24))-(INT(15*(TIME(0,min_l,$B42)*24))))*60</f>
        <v>22.00000000000003</v>
      </c>
      <c r="E42" s="288">
        <f>INT(15.0410844436191*(TIME(0,min_l,$B42)*24))</f>
        <v>13</v>
      </c>
      <c r="F42" s="289">
        <f>((15.04167*((TIME(0,min_l,$B42))*24))-(INT(15.04167*(TIME(0,min_l,$B42)*24))))*60</f>
        <v>24.227956000000113</v>
      </c>
      <c r="G42" s="288">
        <f>INT(14.31667*(TIME(0,min_l,$B42)*24))</f>
        <v>12</v>
      </c>
      <c r="H42" s="289">
        <f>((14.31667*((TIME(0,min_l,$B42))*24))-(INT(14.31667*(TIME(0,min_l,$B42)*24))))*60</f>
        <v>45.46462266666676</v>
      </c>
      <c r="I42" s="297">
        <v>8.399999999999999</v>
      </c>
      <c r="J42" s="295">
        <f>I42/60*min_l</f>
        <v>7.419999999999999</v>
      </c>
      <c r="K42" s="296">
        <v>28</v>
      </c>
      <c r="L42" s="288">
        <f>INT(15*(TIME(0,min_r,$K42)*24))</f>
        <v>13</v>
      </c>
      <c r="M42" s="289">
        <f>((15*((TIME(0,min_r,$K42))*24))-(INT(15*(TIME(0,min_r,$K42)*24))))*60</f>
        <v>37.00000000000003</v>
      </c>
      <c r="N42" s="288">
        <f>INT(15.0410844436191*(TIME(0,min_r,$K42)*24))</f>
        <v>13</v>
      </c>
      <c r="O42" s="289">
        <f>((15.04167*((TIME(0,min_r,$K42))*24))-(INT(15.04167*(TIME(0,min_r,$K42)*24))))*60</f>
        <v>39.269625999999995</v>
      </c>
      <c r="P42" s="288">
        <f>INT(14.31667*(TIME(0,min_r,$K42)*24))</f>
        <v>12</v>
      </c>
      <c r="Q42" s="289">
        <f>((14.31667*((TIME(0,min_r,$K42))*24))-(INT(14.31667*(TIME(0,min_r,$K42)*24))))*60</f>
        <v>59.781292666666666</v>
      </c>
      <c r="R42" s="297">
        <v>8.399999999999999</v>
      </c>
      <c r="S42" s="298">
        <f>R42/60*min_r</f>
        <v>7.56</v>
      </c>
      <c r="T42" s="299"/>
    </row>
    <row r="43" spans="1:20" ht="15">
      <c r="A43" s="273"/>
      <c r="B43" s="296">
        <v>29</v>
      </c>
      <c r="C43" s="288">
        <f>INT(15*(TIME(0,min_l,$B43)*24))</f>
        <v>13</v>
      </c>
      <c r="D43" s="289">
        <f>((15*((TIME(0,min_l,$B43))*24))-(INT(15*(TIME(0,min_l,$B43)*24))))*60</f>
        <v>22.250000000000014</v>
      </c>
      <c r="E43" s="288">
        <f>INT(15.0410844436191*(TIME(0,min_l,$B43)*24))</f>
        <v>13</v>
      </c>
      <c r="F43" s="289">
        <f>((15.04167*((TIME(0,min_l,$B43))*24))-(INT(15.04167*(TIME(0,min_l,$B43)*24))))*60</f>
        <v>24.478650500000008</v>
      </c>
      <c r="G43" s="288">
        <f>INT(14.31667*(TIME(0,min_l,$B43)*24))</f>
        <v>12</v>
      </c>
      <c r="H43" s="289">
        <f>((14.31667*((TIME(0,min_l,$B43))*24))-(INT(14.31667*(TIME(0,min_l,$B43)*24))))*60</f>
        <v>45.703233833333385</v>
      </c>
      <c r="I43" s="297">
        <v>8.7</v>
      </c>
      <c r="J43" s="295">
        <f>I43/60*min_l</f>
        <v>7.685</v>
      </c>
      <c r="K43" s="296">
        <v>29</v>
      </c>
      <c r="L43" s="288">
        <f>INT(15*(TIME(0,min_r,$K43)*24))</f>
        <v>13</v>
      </c>
      <c r="M43" s="289">
        <f>((15*((TIME(0,min_r,$K43))*24))-(INT(15*(TIME(0,min_r,$K43)*24))))*60</f>
        <v>37.250000000000014</v>
      </c>
      <c r="N43" s="288">
        <f>INT(15.0410844436191*(TIME(0,min_r,$K43)*24))</f>
        <v>13</v>
      </c>
      <c r="O43" s="289">
        <f>((15.04167*((TIME(0,min_r,$K43))*24))-(INT(15.04167*(TIME(0,min_r,$K43)*24))))*60</f>
        <v>39.5203205</v>
      </c>
      <c r="P43" s="288">
        <f>INT(14.31667*(TIME(0,min_r,$K43)*24))</f>
        <v>13</v>
      </c>
      <c r="Q43" s="289">
        <f>((14.31667*((TIME(0,min_r,$K43))*24))-(INT(14.31667*(TIME(0,min_r,$K43)*24))))*60</f>
        <v>0.019903833333394516</v>
      </c>
      <c r="R43" s="297">
        <v>8.7</v>
      </c>
      <c r="S43" s="298">
        <f>R43/60*min_r</f>
        <v>7.829999999999999</v>
      </c>
      <c r="T43" s="299"/>
    </row>
    <row r="44" spans="1:20" ht="6.75" customHeight="1">
      <c r="A44" s="273"/>
      <c r="B44" s="296"/>
      <c r="C44" s="288"/>
      <c r="D44" s="289"/>
      <c r="E44" s="288"/>
      <c r="F44" s="289"/>
      <c r="G44" s="288"/>
      <c r="H44" s="289"/>
      <c r="I44" s="297"/>
      <c r="J44" s="295"/>
      <c r="K44" s="296"/>
      <c r="L44" s="288"/>
      <c r="M44" s="289"/>
      <c r="N44" s="288"/>
      <c r="O44" s="289"/>
      <c r="P44" s="288"/>
      <c r="Q44" s="289"/>
      <c r="R44" s="297"/>
      <c r="S44" s="298"/>
      <c r="T44" s="299"/>
    </row>
    <row r="45" spans="1:20" ht="15">
      <c r="A45" s="273"/>
      <c r="B45" s="296">
        <v>30</v>
      </c>
      <c r="C45" s="288">
        <f>INT(15*(TIME(0,min_l,$B45)*24))</f>
        <v>13</v>
      </c>
      <c r="D45" s="289">
        <f>((15*((TIME(0,min_l,$B45))*24))-(INT(15*(TIME(0,min_l,$B45)*24))))*60</f>
        <v>22.5</v>
      </c>
      <c r="E45" s="288">
        <f>INT(15.0410844436191*(TIME(0,min_l,$B45)*24))</f>
        <v>13</v>
      </c>
      <c r="F45" s="289">
        <f>((15.04167*((TIME(0,min_l,$B45))*24))-(INT(15.04167*(TIME(0,min_l,$B45)*24))))*60</f>
        <v>24.729344999999903</v>
      </c>
      <c r="G45" s="288">
        <f>INT(14.31667*(TIME(0,min_l,$B45)*24))</f>
        <v>12</v>
      </c>
      <c r="H45" s="289">
        <f>((14.31667*((TIME(0,min_l,$B45))*24))-(INT(14.31667*(TIME(0,min_l,$B45)*24))))*60</f>
        <v>45.94184500000001</v>
      </c>
      <c r="I45" s="297">
        <v>9</v>
      </c>
      <c r="J45" s="295">
        <f>I45/60*min_l</f>
        <v>7.949999999999999</v>
      </c>
      <c r="K45" s="296">
        <v>30</v>
      </c>
      <c r="L45" s="288">
        <f>INT(15*(TIME(0,min_r,$K45)*24))</f>
        <v>13</v>
      </c>
      <c r="M45" s="289">
        <f>((15*((TIME(0,min_r,$K45))*24))-(INT(15*(TIME(0,min_r,$K45)*24))))*60</f>
        <v>37.49999999999989</v>
      </c>
      <c r="N45" s="288">
        <f>INT(15.0410844436191*(TIME(0,min_r,$K45)*24))</f>
        <v>13</v>
      </c>
      <c r="O45" s="289">
        <f>((15.04167*((TIME(0,min_r,$K45))*24))-(INT(15.04167*(TIME(0,min_r,$K45)*24))))*60</f>
        <v>39.77101499999989</v>
      </c>
      <c r="P45" s="288">
        <f>INT(14.31667*(TIME(0,min_r,$K45)*24))</f>
        <v>13</v>
      </c>
      <c r="Q45" s="289">
        <f>((14.31667*((TIME(0,min_r,$K45))*24))-(INT(14.31667*(TIME(0,min_r,$K45)*24))))*60</f>
        <v>0.25851499999991034</v>
      </c>
      <c r="R45" s="297">
        <v>9</v>
      </c>
      <c r="S45" s="298">
        <f>R45/60*min_r</f>
        <v>8.1</v>
      </c>
      <c r="T45" s="299"/>
    </row>
    <row r="46" spans="1:20" ht="15">
      <c r="A46" s="273"/>
      <c r="B46" s="296">
        <v>31</v>
      </c>
      <c r="C46" s="288">
        <f>INT(15*(TIME(0,min_l,$B46)*24))</f>
        <v>13</v>
      </c>
      <c r="D46" s="289">
        <f>((15*((TIME(0,min_l,$B46))*24))-(INT(15*(TIME(0,min_l,$B46)*24))))*60</f>
        <v>22.749999999999986</v>
      </c>
      <c r="E46" s="288">
        <f>INT(15.0410844436191*(TIME(0,min_l,$B46)*24))</f>
        <v>13</v>
      </c>
      <c r="F46" s="289">
        <f>((15.04167*((TIME(0,min_l,$B46))*24))-(INT(15.04167*(TIME(0,min_l,$B46)*24))))*60</f>
        <v>24.98003950000001</v>
      </c>
      <c r="G46" s="288">
        <f>INT(14.31667*(TIME(0,min_l,$B46)*24))</f>
        <v>12</v>
      </c>
      <c r="H46" s="289">
        <f>((14.31667*((TIME(0,min_l,$B46))*24))-(INT(14.31667*(TIME(0,min_l,$B46)*24))))*60</f>
        <v>46.18045616666663</v>
      </c>
      <c r="I46" s="297">
        <v>9.3</v>
      </c>
      <c r="J46" s="295">
        <f>I46/60*min_l</f>
        <v>8.215</v>
      </c>
      <c r="K46" s="296">
        <v>31</v>
      </c>
      <c r="L46" s="288">
        <f>INT(15*(TIME(0,min_r,$K46)*24))</f>
        <v>13</v>
      </c>
      <c r="M46" s="289">
        <f>((15*((TIME(0,min_r,$K46))*24))-(INT(15*(TIME(0,min_r,$K46)*24))))*60</f>
        <v>37.75000000000009</v>
      </c>
      <c r="N46" s="288">
        <f>INT(15.0410844436191*(TIME(0,min_r,$K46)*24))</f>
        <v>13</v>
      </c>
      <c r="O46" s="289">
        <f>((15.04167*((TIME(0,min_r,$K46))*24))-(INT(15.04167*(TIME(0,min_r,$K46)*24))))*60</f>
        <v>40.02170950000011</v>
      </c>
      <c r="P46" s="288">
        <f>INT(14.31667*(TIME(0,min_r,$K46)*24))</f>
        <v>13</v>
      </c>
      <c r="Q46" s="289">
        <f>((14.31667*((TIME(0,min_r,$K46))*24))-(INT(14.31667*(TIME(0,min_r,$K46)*24))))*60</f>
        <v>0.4971261666668525</v>
      </c>
      <c r="R46" s="297">
        <v>9.3</v>
      </c>
      <c r="S46" s="298">
        <f>R46/60*min_r</f>
        <v>8.37</v>
      </c>
      <c r="T46" s="299"/>
    </row>
    <row r="47" spans="1:20" ht="15">
      <c r="A47" s="273"/>
      <c r="B47" s="296">
        <v>32</v>
      </c>
      <c r="C47" s="288">
        <f>INT(15*(TIME(0,min_l,$B47)*24))</f>
        <v>13</v>
      </c>
      <c r="D47" s="289">
        <f>((15*((TIME(0,min_l,$B47))*24))-(INT(15*(TIME(0,min_l,$B47)*24))))*60</f>
        <v>22.99999999999997</v>
      </c>
      <c r="E47" s="288">
        <f>INT(15.0410844436191*(TIME(0,min_l,$B47)*24))</f>
        <v>13</v>
      </c>
      <c r="F47" s="289">
        <f>((15.04167*((TIME(0,min_l,$B47))*24))-(INT(15.04167*(TIME(0,min_l,$B47)*24))))*60</f>
        <v>25.230734000000012</v>
      </c>
      <c r="G47" s="288">
        <f>INT(14.31667*(TIME(0,min_l,$B47)*24))</f>
        <v>12</v>
      </c>
      <c r="H47" s="289">
        <f>((14.31667*((TIME(0,min_l,$B47))*24))-(INT(14.31667*(TIME(0,min_l,$B47)*24))))*60</f>
        <v>46.41906733333336</v>
      </c>
      <c r="I47" s="297">
        <v>9.600000000000001</v>
      </c>
      <c r="J47" s="295">
        <f>I47/60*min_l</f>
        <v>8.480000000000002</v>
      </c>
      <c r="K47" s="296">
        <v>32</v>
      </c>
      <c r="L47" s="288">
        <f>INT(15*(TIME(0,min_r,$K47)*24))</f>
        <v>13</v>
      </c>
      <c r="M47" s="289">
        <f>((15*((TIME(0,min_r,$K47))*24))-(INT(15*(TIME(0,min_r,$K47)*24))))*60</f>
        <v>37.99999999999997</v>
      </c>
      <c r="N47" s="288">
        <f>INT(15.0410844436191*(TIME(0,min_r,$K47)*24))</f>
        <v>13</v>
      </c>
      <c r="O47" s="289">
        <f>((15.04167*((TIME(0,min_r,$K47))*24))-(INT(15.04167*(TIME(0,min_r,$K47)*24))))*60</f>
        <v>40.272404</v>
      </c>
      <c r="P47" s="288">
        <f>INT(14.31667*(TIME(0,min_r,$K47)*24))</f>
        <v>13</v>
      </c>
      <c r="Q47" s="289">
        <f>((14.31667*((TIME(0,min_r,$K47))*24))-(INT(14.31667*(TIME(0,min_r,$K47)*24))))*60</f>
        <v>0.7357373333333683</v>
      </c>
      <c r="R47" s="297">
        <v>9.600000000000001</v>
      </c>
      <c r="S47" s="298">
        <f>R47/60*min_r</f>
        <v>8.640000000000002</v>
      </c>
      <c r="T47" s="299"/>
    </row>
    <row r="48" spans="1:20" ht="15">
      <c r="A48" s="273"/>
      <c r="B48" s="296">
        <v>33</v>
      </c>
      <c r="C48" s="288">
        <f>INT(15*(TIME(0,min_l,$B48)*24))</f>
        <v>13</v>
      </c>
      <c r="D48" s="289">
        <f>((15*((TIME(0,min_l,$B48))*24))-(INT(15*(TIME(0,min_l,$B48)*24))))*60</f>
        <v>23.249999999999957</v>
      </c>
      <c r="E48" s="288">
        <f>INT(15.0410844436191*(TIME(0,min_l,$B48)*24))</f>
        <v>13</v>
      </c>
      <c r="F48" s="289">
        <f>((15.04167*((TIME(0,min_l,$B48))*24))-(INT(15.04167*(TIME(0,min_l,$B48)*24))))*60</f>
        <v>25.481428499999907</v>
      </c>
      <c r="G48" s="288">
        <f>INT(14.31667*(TIME(0,min_l,$B48)*24))</f>
        <v>12</v>
      </c>
      <c r="H48" s="289">
        <f>((14.31667*((TIME(0,min_l,$B48))*24))-(INT(14.31667*(TIME(0,min_l,$B48)*24))))*60</f>
        <v>46.65767849999998</v>
      </c>
      <c r="I48" s="297">
        <v>9.900000000000002</v>
      </c>
      <c r="J48" s="295">
        <f>I48/60*min_l</f>
        <v>8.745000000000001</v>
      </c>
      <c r="K48" s="296">
        <v>33</v>
      </c>
      <c r="L48" s="288">
        <f>INT(15*(TIME(0,min_r,$K48)*24))</f>
        <v>13</v>
      </c>
      <c r="M48" s="289">
        <f>((15*((TIME(0,min_r,$K48))*24))-(INT(15*(TIME(0,min_r,$K48)*24))))*60</f>
        <v>38.24999999999996</v>
      </c>
      <c r="N48" s="288">
        <f>INT(15.0410844436191*(TIME(0,min_r,$K48)*24))</f>
        <v>13</v>
      </c>
      <c r="O48" s="289">
        <f>((15.04167*((TIME(0,min_r,$K48))*24))-(INT(15.04167*(TIME(0,min_r,$K48)*24))))*60</f>
        <v>40.5230984999999</v>
      </c>
      <c r="P48" s="288">
        <f>INT(14.31667*(TIME(0,min_r,$K48)*24))</f>
        <v>13</v>
      </c>
      <c r="Q48" s="289">
        <f>((14.31667*((TIME(0,min_r,$K48))*24))-(INT(14.31667*(TIME(0,min_r,$K48)*24))))*60</f>
        <v>0.9743484999998842</v>
      </c>
      <c r="R48" s="297">
        <v>9.900000000000002</v>
      </c>
      <c r="S48" s="298">
        <f>R48/60*min_r</f>
        <v>8.910000000000002</v>
      </c>
      <c r="T48" s="299"/>
    </row>
    <row r="49" spans="1:20" ht="15">
      <c r="A49" s="273"/>
      <c r="B49" s="296">
        <v>34</v>
      </c>
      <c r="C49" s="288">
        <f>INT(15*(TIME(0,min_l,$B49)*24))</f>
        <v>13</v>
      </c>
      <c r="D49" s="289">
        <f>((15*((TIME(0,min_l,$B49))*24))-(INT(15*(TIME(0,min_l,$B49)*24))))*60</f>
        <v>23.499999999999943</v>
      </c>
      <c r="E49" s="288">
        <f>INT(15.0410844436191*(TIME(0,min_l,$B49)*24))</f>
        <v>13</v>
      </c>
      <c r="F49" s="289">
        <f>((15.04167*((TIME(0,min_l,$B49))*24))-(INT(15.04167*(TIME(0,min_l,$B49)*24))))*60</f>
        <v>25.73212299999991</v>
      </c>
      <c r="G49" s="288">
        <f>INT(14.31667*(TIME(0,min_l,$B49)*24))</f>
        <v>12</v>
      </c>
      <c r="H49" s="289">
        <f>((14.31667*((TIME(0,min_l,$B49))*24))-(INT(14.31667*(TIME(0,min_l,$B49)*24))))*60</f>
        <v>46.896289666666604</v>
      </c>
      <c r="I49" s="297">
        <v>10.200000000000003</v>
      </c>
      <c r="J49" s="295">
        <f>I49/60*min_l</f>
        <v>9.010000000000002</v>
      </c>
      <c r="K49" s="296">
        <v>34</v>
      </c>
      <c r="L49" s="288">
        <f>INT(15*(TIME(0,min_r,$K49)*24))</f>
        <v>13</v>
      </c>
      <c r="M49" s="289">
        <f>((15*((TIME(0,min_r,$K49))*24))-(INT(15*(TIME(0,min_r,$K49)*24))))*60</f>
        <v>38.50000000000005</v>
      </c>
      <c r="N49" s="288">
        <f>INT(15.0410844436191*(TIME(0,min_r,$K49)*24))</f>
        <v>13</v>
      </c>
      <c r="O49" s="289">
        <f>((15.04167*((TIME(0,min_r,$K49))*24))-(INT(15.04167*(TIME(0,min_r,$K49)*24))))*60</f>
        <v>40.773793000000005</v>
      </c>
      <c r="P49" s="288">
        <f>INT(14.31667*(TIME(0,min_r,$K49)*24))</f>
        <v>13</v>
      </c>
      <c r="Q49" s="289">
        <f>((14.31667*((TIME(0,min_r,$K49))*24))-(INT(14.31667*(TIME(0,min_r,$K49)*24))))*60</f>
        <v>1.2129596666667197</v>
      </c>
      <c r="R49" s="297">
        <v>10.200000000000003</v>
      </c>
      <c r="S49" s="298">
        <f>R49/60*min_r</f>
        <v>9.180000000000001</v>
      </c>
      <c r="T49" s="299"/>
    </row>
    <row r="50" spans="1:20" ht="6.75" customHeight="1">
      <c r="A50" s="273"/>
      <c r="B50" s="296"/>
      <c r="C50" s="288"/>
      <c r="D50" s="289"/>
      <c r="E50" s="288"/>
      <c r="F50" s="289"/>
      <c r="G50" s="288"/>
      <c r="H50" s="289"/>
      <c r="I50" s="297"/>
      <c r="J50" s="295"/>
      <c r="K50" s="296"/>
      <c r="L50" s="288"/>
      <c r="M50" s="289"/>
      <c r="N50" s="288"/>
      <c r="O50" s="289"/>
      <c r="P50" s="288"/>
      <c r="Q50" s="289"/>
      <c r="R50" s="297"/>
      <c r="S50" s="298"/>
      <c r="T50" s="299"/>
    </row>
    <row r="51" spans="1:20" ht="15">
      <c r="A51" s="273"/>
      <c r="B51" s="296">
        <v>35</v>
      </c>
      <c r="C51" s="288">
        <f>INT(15*(TIME(0,min_l,$B51)*24))</f>
        <v>13</v>
      </c>
      <c r="D51" s="289">
        <f>((15*((TIME(0,min_l,$B51))*24))-(INT(15*(TIME(0,min_l,$B51)*24))))*60</f>
        <v>23.750000000000142</v>
      </c>
      <c r="E51" s="288">
        <f>INT(15.0410844436191*(TIME(0,min_l,$B51)*24))</f>
        <v>13</v>
      </c>
      <c r="F51" s="289">
        <f>((15.04167*((TIME(0,min_l,$B51))*24))-(INT(15.04167*(TIME(0,min_l,$B51)*24))))*60</f>
        <v>25.982817500000124</v>
      </c>
      <c r="G51" s="288">
        <f>INT(14.31667*(TIME(0,min_l,$B51)*24))</f>
        <v>12</v>
      </c>
      <c r="H51" s="289">
        <f>((14.31667*((TIME(0,min_l,$B51))*24))-(INT(14.31667*(TIME(0,min_l,$B51)*24))))*60</f>
        <v>47.13490083333344</v>
      </c>
      <c r="I51" s="297">
        <v>10.500000000000004</v>
      </c>
      <c r="J51" s="295">
        <f>I51/60*min_l</f>
        <v>9.275000000000004</v>
      </c>
      <c r="K51" s="296">
        <v>35</v>
      </c>
      <c r="L51" s="288">
        <f>INT(15*(TIME(0,min_r,$K51)*24))</f>
        <v>13</v>
      </c>
      <c r="M51" s="289">
        <f>((15*((TIME(0,min_r,$K51))*24))-(INT(15*(TIME(0,min_r,$K51)*24))))*60</f>
        <v>38.75000000000014</v>
      </c>
      <c r="N51" s="288">
        <f>INT(15.0410844436191*(TIME(0,min_r,$K51)*24))</f>
        <v>13</v>
      </c>
      <c r="O51" s="289">
        <f>((15.04167*((TIME(0,min_r,$K51))*24))-(INT(15.04167*(TIME(0,min_r,$K51)*24))))*60</f>
        <v>41.02448750000011</v>
      </c>
      <c r="P51" s="288">
        <f>INT(14.31667*(TIME(0,min_r,$K51)*24))</f>
        <v>13</v>
      </c>
      <c r="Q51" s="289">
        <f>((14.31667*((TIME(0,min_r,$K51))*24))-(INT(14.31667*(TIME(0,min_r,$K51)*24))))*60</f>
        <v>1.4515708333334487</v>
      </c>
      <c r="R51" s="297">
        <v>10.500000000000004</v>
      </c>
      <c r="S51" s="298">
        <f>R51/60*min_r</f>
        <v>9.450000000000005</v>
      </c>
      <c r="T51" s="299"/>
    </row>
    <row r="52" spans="1:20" ht="15">
      <c r="A52" s="273"/>
      <c r="B52" s="296">
        <v>36</v>
      </c>
      <c r="C52" s="288">
        <f>INT(15*(TIME(0,min_l,$B52)*24))</f>
        <v>13</v>
      </c>
      <c r="D52" s="289">
        <f>((15*((TIME(0,min_l,$B52))*24))-(INT(15*(TIME(0,min_l,$B52)*24))))*60</f>
        <v>24.00000000000002</v>
      </c>
      <c r="E52" s="288">
        <f>INT(15.0410844436191*(TIME(0,min_l,$B52)*24))</f>
        <v>13</v>
      </c>
      <c r="F52" s="289">
        <f>((15.04167*((TIME(0,min_l,$B52))*24))-(INT(15.04167*(TIME(0,min_l,$B52)*24))))*60</f>
        <v>26.23351200000002</v>
      </c>
      <c r="G52" s="288">
        <f>INT(14.31667*(TIME(0,min_l,$B52)*24))</f>
        <v>12</v>
      </c>
      <c r="H52" s="289">
        <f>((14.31667*((TIME(0,min_l,$B52))*24))-(INT(14.31667*(TIME(0,min_l,$B52)*24))))*60</f>
        <v>47.373511999999955</v>
      </c>
      <c r="I52" s="297">
        <v>10.800000000000004</v>
      </c>
      <c r="J52" s="295">
        <f>I52/60*min_l</f>
        <v>9.540000000000004</v>
      </c>
      <c r="K52" s="296">
        <v>36</v>
      </c>
      <c r="L52" s="288">
        <f>INT(15*(TIME(0,min_r,$K52)*24))</f>
        <v>13</v>
      </c>
      <c r="M52" s="289">
        <f>((15*((TIME(0,min_r,$K52))*24))-(INT(15*(TIME(0,min_r,$K52)*24))))*60</f>
        <v>39.00000000000002</v>
      </c>
      <c r="N52" s="288">
        <f>INT(15.0410844436191*(TIME(0,min_r,$K52)*24))</f>
        <v>13</v>
      </c>
      <c r="O52" s="289">
        <f>((15.04167*((TIME(0,min_r,$K52))*24))-(INT(15.04167*(TIME(0,min_r,$K52)*24))))*60</f>
        <v>41.27518200000001</v>
      </c>
      <c r="P52" s="288">
        <f>INT(14.31667*(TIME(0,min_r,$K52)*24))</f>
        <v>13</v>
      </c>
      <c r="Q52" s="289">
        <f>((14.31667*((TIME(0,min_r,$K52))*24))-(INT(14.31667*(TIME(0,min_r,$K52)*24))))*60</f>
        <v>1.6901820000000711</v>
      </c>
      <c r="R52" s="297">
        <v>10.800000000000004</v>
      </c>
      <c r="S52" s="298">
        <f>R52/60*min_r</f>
        <v>9.720000000000004</v>
      </c>
      <c r="T52" s="299"/>
    </row>
    <row r="53" spans="1:20" ht="15">
      <c r="A53" s="273"/>
      <c r="B53" s="296">
        <v>37</v>
      </c>
      <c r="C53" s="288">
        <f>INT(15*(TIME(0,min_l,$B53)*24))</f>
        <v>13</v>
      </c>
      <c r="D53" s="289">
        <f>((15*((TIME(0,min_l,$B53))*24))-(INT(15*(TIME(0,min_l,$B53)*24))))*60</f>
        <v>24.250000000000007</v>
      </c>
      <c r="E53" s="288">
        <f>INT(15.0410844436191*(TIME(0,min_l,$B53)*24))</f>
        <v>13</v>
      </c>
      <c r="F53" s="289">
        <f>((15.04167*((TIME(0,min_l,$B53))*24))-(INT(15.04167*(TIME(0,min_l,$B53)*24))))*60</f>
        <v>26.48420650000002</v>
      </c>
      <c r="G53" s="288">
        <f>INT(14.31667*(TIME(0,min_l,$B53)*24))</f>
        <v>12</v>
      </c>
      <c r="H53" s="289">
        <f>((14.31667*((TIME(0,min_l,$B53))*24))-(INT(14.31667*(TIME(0,min_l,$B53)*24))))*60</f>
        <v>47.612123166666684</v>
      </c>
      <c r="I53" s="297">
        <v>11.100000000000005</v>
      </c>
      <c r="J53" s="295">
        <f>I53/60*min_l</f>
        <v>9.805000000000005</v>
      </c>
      <c r="K53" s="296">
        <v>37</v>
      </c>
      <c r="L53" s="288">
        <f>INT(15*(TIME(0,min_r,$K53)*24))</f>
        <v>13</v>
      </c>
      <c r="M53" s="289">
        <f>((15*((TIME(0,min_r,$K53))*24))-(INT(15*(TIME(0,min_r,$K53)*24))))*60</f>
        <v>39.25000000000001</v>
      </c>
      <c r="N53" s="288">
        <f>INT(15.0410844436191*(TIME(0,min_r,$K53)*24))</f>
        <v>13</v>
      </c>
      <c r="O53" s="289">
        <f>((15.04167*((TIME(0,min_r,$K53))*24))-(INT(15.04167*(TIME(0,min_r,$K53)*24))))*60</f>
        <v>41.52587650000001</v>
      </c>
      <c r="P53" s="288">
        <f>INT(14.31667*(TIME(0,min_r,$K53)*24))</f>
        <v>13</v>
      </c>
      <c r="Q53" s="289">
        <f>((14.31667*((TIME(0,min_r,$K53))*24))-(INT(14.31667*(TIME(0,min_r,$K53)*24))))*60</f>
        <v>1.9287931666666935</v>
      </c>
      <c r="R53" s="297">
        <v>11.100000000000005</v>
      </c>
      <c r="S53" s="298">
        <f>R53/60*min_r</f>
        <v>9.990000000000004</v>
      </c>
      <c r="T53" s="299"/>
    </row>
    <row r="54" spans="1:20" ht="15">
      <c r="A54" s="273"/>
      <c r="B54" s="296">
        <v>38</v>
      </c>
      <c r="C54" s="288">
        <f>INT(15*(TIME(0,min_l,$B54)*24))</f>
        <v>13</v>
      </c>
      <c r="D54" s="289">
        <f>((15*((TIME(0,min_l,$B54))*24))-(INT(15*(TIME(0,min_l,$B54)*24))))*60</f>
        <v>24.499999999999886</v>
      </c>
      <c r="E54" s="288">
        <f>INT(15.0410844436191*(TIME(0,min_l,$B54)*24))</f>
        <v>13</v>
      </c>
      <c r="F54" s="289">
        <f>((15.04167*((TIME(0,min_l,$B54))*24))-(INT(15.04167*(TIME(0,min_l,$B54)*24))))*60</f>
        <v>26.73490099999981</v>
      </c>
      <c r="G54" s="288">
        <f>INT(14.31667*(TIME(0,min_l,$B54)*24))</f>
        <v>12</v>
      </c>
      <c r="H54" s="289">
        <f>((14.31667*((TIME(0,min_l,$B54))*24))-(INT(14.31667*(TIME(0,min_l,$B54)*24))))*60</f>
        <v>47.8507343333332</v>
      </c>
      <c r="I54" s="297">
        <v>11.400000000000006</v>
      </c>
      <c r="J54" s="295">
        <f>I54/60*min_l</f>
        <v>10.070000000000004</v>
      </c>
      <c r="K54" s="296">
        <v>38</v>
      </c>
      <c r="L54" s="288">
        <f>INT(15*(TIME(0,min_r,$K54)*24))</f>
        <v>13</v>
      </c>
      <c r="M54" s="289">
        <f>((15*((TIME(0,min_r,$K54))*24))-(INT(15*(TIME(0,min_r,$K54)*24))))*60</f>
        <v>39.49999999999999</v>
      </c>
      <c r="N54" s="288">
        <f>INT(15.0410844436191*(TIME(0,min_r,$K54)*24))</f>
        <v>13</v>
      </c>
      <c r="O54" s="289">
        <f>((15.04167*((TIME(0,min_r,$K54))*24))-(INT(15.04167*(TIME(0,min_r,$K54)*24))))*60</f>
        <v>41.77657100000001</v>
      </c>
      <c r="P54" s="288">
        <f>INT(14.31667*(TIME(0,min_r,$K54)*24))</f>
        <v>13</v>
      </c>
      <c r="Q54" s="289">
        <f>((14.31667*((TIME(0,min_r,$K54))*24))-(INT(14.31667*(TIME(0,min_r,$K54)*24))))*60</f>
        <v>2.167404333333316</v>
      </c>
      <c r="R54" s="297">
        <v>11.400000000000006</v>
      </c>
      <c r="S54" s="298">
        <f>R54/60*min_r</f>
        <v>10.260000000000005</v>
      </c>
      <c r="T54" s="299"/>
    </row>
    <row r="55" spans="1:20" ht="15">
      <c r="A55" s="273"/>
      <c r="B55" s="296">
        <v>39</v>
      </c>
      <c r="C55" s="288">
        <f>INT(15*(TIME(0,min_l,$B55)*24))</f>
        <v>13</v>
      </c>
      <c r="D55" s="289">
        <f>((15*((TIME(0,min_l,$B55))*24))-(INT(15*(TIME(0,min_l,$B55)*24))))*60</f>
        <v>24.750000000000085</v>
      </c>
      <c r="E55" s="288">
        <f>INT(15.0410844436191*(TIME(0,min_l,$B55)*24))</f>
        <v>13</v>
      </c>
      <c r="F55" s="289">
        <f>((15.04167*((TIME(0,min_l,$B55))*24))-(INT(15.04167*(TIME(0,min_l,$B55)*24))))*60</f>
        <v>26.98559550000013</v>
      </c>
      <c r="G55" s="288">
        <f>INT(14.31667*(TIME(0,min_l,$B55)*24))</f>
        <v>12</v>
      </c>
      <c r="H55" s="289">
        <f>((14.31667*((TIME(0,min_l,$B55))*24))-(INT(14.31667*(TIME(0,min_l,$B55)*24))))*60</f>
        <v>48.08934550000014</v>
      </c>
      <c r="I55" s="297">
        <v>11.700000000000006</v>
      </c>
      <c r="J55" s="295">
        <f>I55/60*min_l</f>
        <v>10.335000000000006</v>
      </c>
      <c r="K55" s="296">
        <v>39</v>
      </c>
      <c r="L55" s="288">
        <f>INT(15*(TIME(0,min_r,$K55)*24))</f>
        <v>13</v>
      </c>
      <c r="M55" s="289">
        <f>((15*((TIME(0,min_r,$K55))*24))-(INT(15*(TIME(0,min_r,$K55)*24))))*60</f>
        <v>39.750000000000085</v>
      </c>
      <c r="N55" s="288">
        <f>INT(15.0410844436191*(TIME(0,min_r,$K55)*24))</f>
        <v>13</v>
      </c>
      <c r="O55" s="289">
        <f>((15.04167*((TIME(0,min_r,$K55))*24))-(INT(15.04167*(TIME(0,min_r,$K55)*24))))*60</f>
        <v>42.02726550000001</v>
      </c>
      <c r="P55" s="288">
        <f>INT(14.31667*(TIME(0,min_r,$K55)*24))</f>
        <v>13</v>
      </c>
      <c r="Q55" s="289">
        <f>((14.31667*((TIME(0,min_r,$K55))*24))-(INT(14.31667*(TIME(0,min_r,$K55)*24))))*60</f>
        <v>2.406015500000045</v>
      </c>
      <c r="R55" s="297">
        <v>11.700000000000006</v>
      </c>
      <c r="S55" s="298">
        <f>R55/60*min_r</f>
        <v>10.530000000000006</v>
      </c>
      <c r="T55" s="299"/>
    </row>
    <row r="56" spans="1:20" ht="6.75" customHeight="1">
      <c r="A56" s="273"/>
      <c r="B56" s="296"/>
      <c r="C56" s="288"/>
      <c r="D56" s="289"/>
      <c r="E56" s="288"/>
      <c r="F56" s="289"/>
      <c r="G56" s="288"/>
      <c r="H56" s="289"/>
      <c r="I56" s="297"/>
      <c r="J56" s="295"/>
      <c r="K56" s="296"/>
      <c r="L56" s="288"/>
      <c r="M56" s="289"/>
      <c r="N56" s="288"/>
      <c r="O56" s="289"/>
      <c r="P56" s="288"/>
      <c r="Q56" s="289"/>
      <c r="R56" s="297"/>
      <c r="S56" s="298"/>
      <c r="T56" s="299"/>
    </row>
    <row r="57" spans="1:20" ht="15">
      <c r="A57" s="273"/>
      <c r="B57" s="296">
        <v>40</v>
      </c>
      <c r="C57" s="288">
        <f>INT(15*(TIME(0,min_l,$B57)*24))</f>
        <v>13</v>
      </c>
      <c r="D57" s="289">
        <f>((15*((TIME(0,min_l,$B57))*24))-(INT(15*(TIME(0,min_l,$B57)*24))))*60</f>
        <v>24.999999999999964</v>
      </c>
      <c r="E57" s="288">
        <f>INT(15.0410844436191*(TIME(0,min_l,$B57)*24))</f>
        <v>13</v>
      </c>
      <c r="F57" s="289">
        <f>((15.04167*((TIME(0,min_l,$B57))*24))-(INT(15.04167*(TIME(0,min_l,$B57)*24))))*60</f>
        <v>27.23628999999992</v>
      </c>
      <c r="G57" s="288">
        <f>INT(14.31667*(TIME(0,min_l,$B57)*24))</f>
        <v>12</v>
      </c>
      <c r="H57" s="289">
        <f>((14.31667*((TIME(0,min_l,$B57))*24))-(INT(14.31667*(TIME(0,min_l,$B57)*24))))*60</f>
        <v>48.32795666666666</v>
      </c>
      <c r="I57" s="297">
        <v>12.000000000000007</v>
      </c>
      <c r="J57" s="295">
        <f>I57/60*min_l</f>
        <v>10.600000000000007</v>
      </c>
      <c r="K57" s="296">
        <v>40</v>
      </c>
      <c r="L57" s="288">
        <f>INT(15*(TIME(0,min_r,$K57)*24))</f>
        <v>13</v>
      </c>
      <c r="M57" s="289">
        <f>((15*((TIME(0,min_r,$K57))*24))-(INT(15*(TIME(0,min_r,$K57)*24))))*60</f>
        <v>39.999999999999964</v>
      </c>
      <c r="N57" s="288">
        <f>INT(15.0410844436191*(TIME(0,min_r,$K57)*24))</f>
        <v>13</v>
      </c>
      <c r="O57" s="289">
        <f>((15.04167*((TIME(0,min_r,$K57))*24))-(INT(15.04167*(TIME(0,min_r,$K57)*24))))*60</f>
        <v>42.277960000000014</v>
      </c>
      <c r="P57" s="288">
        <f>INT(14.31667*(TIME(0,min_r,$K57)*24))</f>
        <v>13</v>
      </c>
      <c r="Q57" s="289">
        <f>((14.31667*((TIME(0,min_r,$K57))*24))-(INT(14.31667*(TIME(0,min_r,$K57)*24))))*60</f>
        <v>2.6446266666666673</v>
      </c>
      <c r="R57" s="297">
        <v>12.000000000000007</v>
      </c>
      <c r="S57" s="298">
        <f>R57/60*min_r</f>
        <v>10.800000000000006</v>
      </c>
      <c r="T57" s="299"/>
    </row>
    <row r="58" spans="1:20" ht="15">
      <c r="A58" s="273"/>
      <c r="B58" s="296">
        <v>41</v>
      </c>
      <c r="C58" s="288">
        <f>INT(15*(TIME(0,min_l,$B58)*24))</f>
        <v>13</v>
      </c>
      <c r="D58" s="289">
        <f>((15*((TIME(0,min_l,$B58))*24))-(INT(15*(TIME(0,min_l,$B58)*24))))*60</f>
        <v>25.24999999999995</v>
      </c>
      <c r="E58" s="288">
        <f>INT(15.0410844436191*(TIME(0,min_l,$B58)*24))</f>
        <v>13</v>
      </c>
      <c r="F58" s="289">
        <f>((15.04167*((TIME(0,min_l,$B58))*24))-(INT(15.04167*(TIME(0,min_l,$B58)*24))))*60</f>
        <v>27.48698449999992</v>
      </c>
      <c r="G58" s="288">
        <f>INT(14.31667*(TIME(0,min_l,$B58)*24))</f>
        <v>12</v>
      </c>
      <c r="H58" s="289">
        <f>((14.31667*((TIME(0,min_l,$B58))*24))-(INT(14.31667*(TIME(0,min_l,$B58)*24))))*60</f>
        <v>48.56656783333328</v>
      </c>
      <c r="I58" s="297">
        <v>12.300000000000008</v>
      </c>
      <c r="J58" s="295">
        <f>I58/60*min_l</f>
        <v>10.865000000000007</v>
      </c>
      <c r="K58" s="296">
        <v>41</v>
      </c>
      <c r="L58" s="288">
        <f>INT(15*(TIME(0,min_r,$K58)*24))</f>
        <v>13</v>
      </c>
      <c r="M58" s="289">
        <f>((15*((TIME(0,min_r,$K58))*24))-(INT(15*(TIME(0,min_r,$K58)*24))))*60</f>
        <v>40.24999999999995</v>
      </c>
      <c r="N58" s="288">
        <f>INT(15.0410844436191*(TIME(0,min_r,$K58)*24))</f>
        <v>13</v>
      </c>
      <c r="O58" s="289">
        <f>((15.04167*((TIME(0,min_r,$K58))*24))-(INT(15.04167*(TIME(0,min_r,$K58)*24))))*60</f>
        <v>42.52865449999991</v>
      </c>
      <c r="P58" s="288">
        <f>INT(14.31667*(TIME(0,min_r,$K58)*24))</f>
        <v>13</v>
      </c>
      <c r="Q58" s="289">
        <f>((14.31667*((TIME(0,min_r,$K58))*24))-(INT(14.31667*(TIME(0,min_r,$K58)*24))))*60</f>
        <v>2.8832378333332898</v>
      </c>
      <c r="R58" s="297">
        <v>12.300000000000008</v>
      </c>
      <c r="S58" s="298">
        <f>R58/60*min_r</f>
        <v>11.070000000000007</v>
      </c>
      <c r="T58" s="299"/>
    </row>
    <row r="59" spans="1:20" ht="15">
      <c r="A59" s="273"/>
      <c r="B59" s="296">
        <v>42</v>
      </c>
      <c r="C59" s="288">
        <f>INT(15*(TIME(0,min_l,$B59)*24))</f>
        <v>13</v>
      </c>
      <c r="D59" s="289">
        <f>((15*((TIME(0,min_l,$B59))*24))-(INT(15*(TIME(0,min_l,$B59)*24))))*60</f>
        <v>25.500000000000043</v>
      </c>
      <c r="E59" s="288">
        <f>INT(15.0410844436191*(TIME(0,min_l,$B59)*24))</f>
        <v>13</v>
      </c>
      <c r="F59" s="289">
        <f>((15.04167*((TIME(0,min_l,$B59))*24))-(INT(15.04167*(TIME(0,min_l,$B59)*24))))*60</f>
        <v>27.73767900000003</v>
      </c>
      <c r="G59" s="288">
        <f>INT(14.31667*(TIME(0,min_l,$B59)*24))</f>
        <v>12</v>
      </c>
      <c r="H59" s="289">
        <f>((14.31667*((TIME(0,min_l,$B59))*24))-(INT(14.31667*(TIME(0,min_l,$B59)*24))))*60</f>
        <v>48.80517900000001</v>
      </c>
      <c r="I59" s="297">
        <v>12.600000000000009</v>
      </c>
      <c r="J59" s="295">
        <f>I59/60*min_l</f>
        <v>11.130000000000006</v>
      </c>
      <c r="K59" s="296">
        <v>42</v>
      </c>
      <c r="L59" s="288">
        <f>INT(15*(TIME(0,min_r,$K59)*24))</f>
        <v>13</v>
      </c>
      <c r="M59" s="289">
        <f>((15*((TIME(0,min_r,$K59))*24))-(INT(15*(TIME(0,min_r,$K59)*24))))*60</f>
        <v>40.50000000000015</v>
      </c>
      <c r="N59" s="288">
        <f>INT(15.0410844436191*(TIME(0,min_r,$K59)*24))</f>
        <v>13</v>
      </c>
      <c r="O59" s="289">
        <f>((15.04167*((TIME(0,min_r,$K59))*24))-(INT(15.04167*(TIME(0,min_r,$K59)*24))))*60</f>
        <v>42.779349000000124</v>
      </c>
      <c r="P59" s="288">
        <f>INT(14.31667*(TIME(0,min_r,$K59)*24))</f>
        <v>13</v>
      </c>
      <c r="Q59" s="289">
        <f>((14.31667*((TIME(0,min_r,$K59))*24))-(INT(14.31667*(TIME(0,min_r,$K59)*24))))*60</f>
        <v>3.1218490000001253</v>
      </c>
      <c r="R59" s="297">
        <v>12.600000000000009</v>
      </c>
      <c r="S59" s="298">
        <f>R59/60*min_r</f>
        <v>11.340000000000007</v>
      </c>
      <c r="T59" s="299"/>
    </row>
    <row r="60" spans="1:20" ht="15">
      <c r="A60" s="273"/>
      <c r="B60" s="296">
        <v>43</v>
      </c>
      <c r="C60" s="288">
        <f>INT(15*(TIME(0,min_l,$B60)*24))</f>
        <v>13</v>
      </c>
      <c r="D60" s="289">
        <f>((15*((TIME(0,min_l,$B60))*24))-(INT(15*(TIME(0,min_l,$B60)*24))))*60</f>
        <v>25.75000000000003</v>
      </c>
      <c r="E60" s="288">
        <f>INT(15.0410844436191*(TIME(0,min_l,$B60)*24))</f>
        <v>13</v>
      </c>
      <c r="F60" s="289">
        <f>((15.04167*((TIME(0,min_l,$B60))*24))-(INT(15.04167*(TIME(0,min_l,$B60)*24))))*60</f>
        <v>27.98837350000003</v>
      </c>
      <c r="G60" s="288">
        <f>INT(14.31667*(TIME(0,min_l,$B60)*24))</f>
        <v>12</v>
      </c>
      <c r="H60" s="289">
        <f>((14.31667*((TIME(0,min_l,$B60))*24))-(INT(14.31667*(TIME(0,min_l,$B60)*24))))*60</f>
        <v>49.04379016666674</v>
      </c>
      <c r="I60" s="297">
        <v>12.90000000000001</v>
      </c>
      <c r="J60" s="295">
        <f>I60/60*min_l</f>
        <v>11.395000000000008</v>
      </c>
      <c r="K60" s="296">
        <v>43</v>
      </c>
      <c r="L60" s="288">
        <f>INT(15*(TIME(0,min_r,$K60)*24))</f>
        <v>13</v>
      </c>
      <c r="M60" s="289">
        <f>((15*((TIME(0,min_r,$K60))*24))-(INT(15*(TIME(0,min_r,$K60)*24))))*60</f>
        <v>40.75000000000003</v>
      </c>
      <c r="N60" s="288">
        <f>INT(15.0410844436191*(TIME(0,min_r,$K60)*24))</f>
        <v>13</v>
      </c>
      <c r="O60" s="289">
        <f>((15.04167*((TIME(0,min_r,$K60))*24))-(INT(15.04167*(TIME(0,min_r,$K60)*24))))*60</f>
        <v>43.03004350000002</v>
      </c>
      <c r="P60" s="288">
        <f>INT(14.31667*(TIME(0,min_r,$K60)*24))</f>
        <v>13</v>
      </c>
      <c r="Q60" s="289">
        <f>((14.31667*((TIME(0,min_r,$K60))*24))-(INT(14.31667*(TIME(0,min_r,$K60)*24))))*60</f>
        <v>3.360460166666641</v>
      </c>
      <c r="R60" s="297">
        <v>12.90000000000001</v>
      </c>
      <c r="S60" s="298">
        <f>R60/60*min_r</f>
        <v>11.610000000000008</v>
      </c>
      <c r="T60" s="299"/>
    </row>
    <row r="61" spans="1:20" ht="15">
      <c r="A61" s="273"/>
      <c r="B61" s="296">
        <v>44</v>
      </c>
      <c r="C61" s="288">
        <f>INT(15*(TIME(0,min_l,$B61)*24))</f>
        <v>13</v>
      </c>
      <c r="D61" s="289">
        <f>((15*((TIME(0,min_l,$B61))*24))-(INT(15*(TIME(0,min_l,$B61)*24))))*60</f>
        <v>26.000000000000014</v>
      </c>
      <c r="E61" s="288">
        <f>INT(15.0410844436191*(TIME(0,min_l,$B61)*24))</f>
        <v>13</v>
      </c>
      <c r="F61" s="289">
        <f>((15.04167*((TIME(0,min_l,$B61))*24))-(INT(15.04167*(TIME(0,min_l,$B61)*24))))*60</f>
        <v>28.23906800000003</v>
      </c>
      <c r="G61" s="288">
        <f>INT(14.31667*(TIME(0,min_l,$B61)*24))</f>
        <v>12</v>
      </c>
      <c r="H61" s="289">
        <f>((14.31667*((TIME(0,min_l,$B61))*24))-(INT(14.31667*(TIME(0,min_l,$B61)*24))))*60</f>
        <v>49.28240133333336</v>
      </c>
      <c r="I61" s="297">
        <v>13.20000000000001</v>
      </c>
      <c r="J61" s="295">
        <f>I61/60*min_l</f>
        <v>11.660000000000009</v>
      </c>
      <c r="K61" s="296">
        <v>44</v>
      </c>
      <c r="L61" s="288">
        <f>INT(15*(TIME(0,min_r,$K61)*24))</f>
        <v>13</v>
      </c>
      <c r="M61" s="289">
        <f>((15*((TIME(0,min_r,$K61))*24))-(INT(15*(TIME(0,min_r,$K61)*24))))*60</f>
        <v>41.000000000000014</v>
      </c>
      <c r="N61" s="288">
        <f>INT(15.0410844436191*(TIME(0,min_r,$K61)*24))</f>
        <v>13</v>
      </c>
      <c r="O61" s="289">
        <f>((15.04167*((TIME(0,min_r,$K61))*24))-(INT(15.04167*(TIME(0,min_r,$K61)*24))))*60</f>
        <v>43.28073800000002</v>
      </c>
      <c r="P61" s="288">
        <f>INT(14.31667*(TIME(0,min_r,$K61)*24))</f>
        <v>13</v>
      </c>
      <c r="Q61" s="289">
        <f>((14.31667*((TIME(0,min_r,$K61))*24))-(INT(14.31667*(TIME(0,min_r,$K61)*24))))*60</f>
        <v>3.59907133333337</v>
      </c>
      <c r="R61" s="297">
        <v>13.20000000000001</v>
      </c>
      <c r="S61" s="298">
        <f>R61/60*min_r</f>
        <v>11.88000000000001</v>
      </c>
      <c r="T61" s="299"/>
    </row>
    <row r="62" spans="1:20" ht="6.75" customHeight="1">
      <c r="A62" s="273"/>
      <c r="B62" s="296"/>
      <c r="C62" s="288"/>
      <c r="D62" s="289"/>
      <c r="E62" s="288"/>
      <c r="F62" s="289"/>
      <c r="G62" s="288"/>
      <c r="H62" s="289"/>
      <c r="I62" s="297"/>
      <c r="J62" s="295"/>
      <c r="K62" s="296"/>
      <c r="L62" s="288"/>
      <c r="M62" s="289"/>
      <c r="N62" s="288"/>
      <c r="O62" s="289"/>
      <c r="P62" s="288"/>
      <c r="Q62" s="289"/>
      <c r="R62" s="297"/>
      <c r="S62" s="298"/>
      <c r="T62" s="299"/>
    </row>
    <row r="63" spans="1:20" ht="15">
      <c r="A63" s="273"/>
      <c r="B63" s="296">
        <v>45</v>
      </c>
      <c r="C63" s="288">
        <f>INT(15*(TIME(0,min_l,$B63)*24))</f>
        <v>13</v>
      </c>
      <c r="D63" s="289">
        <f>((15*((TIME(0,min_l,$B63))*24))-(INT(15*(TIME(0,min_l,$B63)*24))))*60</f>
        <v>26.249999999999893</v>
      </c>
      <c r="E63" s="288">
        <f>INT(15.0410844436191*(TIME(0,min_l,$B63)*24))</f>
        <v>13</v>
      </c>
      <c r="F63" s="289">
        <f>((15.04167*((TIME(0,min_l,$B63))*24))-(INT(15.04167*(TIME(0,min_l,$B63)*24))))*60</f>
        <v>28.489762499999927</v>
      </c>
      <c r="G63" s="288">
        <f>INT(14.31667*(TIME(0,min_l,$B63)*24))</f>
        <v>12</v>
      </c>
      <c r="H63" s="289">
        <f>((14.31667*((TIME(0,min_l,$B63))*24))-(INT(14.31667*(TIME(0,min_l,$B63)*24))))*60</f>
        <v>49.52101249999998</v>
      </c>
      <c r="I63" s="297">
        <v>13.50000000000001</v>
      </c>
      <c r="J63" s="295">
        <f>I63/60*min_l</f>
        <v>11.92500000000001</v>
      </c>
      <c r="K63" s="296">
        <v>45</v>
      </c>
      <c r="L63" s="288">
        <f>INT(15*(TIME(0,min_r,$K63)*24))</f>
        <v>13</v>
      </c>
      <c r="M63" s="289">
        <f>((15*((TIME(0,min_r,$K63))*24))-(INT(15*(TIME(0,min_r,$K63)*24))))*60</f>
        <v>41.24999999999989</v>
      </c>
      <c r="N63" s="288">
        <f>INT(15.0410844436191*(TIME(0,min_r,$K63)*24))</f>
        <v>13</v>
      </c>
      <c r="O63" s="289">
        <f>((15.04167*((TIME(0,min_r,$K63))*24))-(INT(15.04167*(TIME(0,min_r,$K63)*24))))*60</f>
        <v>43.531432499999916</v>
      </c>
      <c r="P63" s="288">
        <f>INT(14.31667*(TIME(0,min_r,$K63)*24))</f>
        <v>13</v>
      </c>
      <c r="Q63" s="289">
        <f>((14.31667*((TIME(0,min_r,$K63))*24))-(INT(14.31667*(TIME(0,min_r,$K63)*24))))*60</f>
        <v>3.837682499999886</v>
      </c>
      <c r="R63" s="297">
        <v>13.50000000000001</v>
      </c>
      <c r="S63" s="298">
        <f>R63/60*min_r</f>
        <v>12.15000000000001</v>
      </c>
      <c r="T63" s="299"/>
    </row>
    <row r="64" spans="1:20" ht="15">
      <c r="A64" s="273"/>
      <c r="B64" s="296">
        <v>46</v>
      </c>
      <c r="C64" s="288">
        <f>INT(15*(TIME(0,min_l,$B64)*24))</f>
        <v>13</v>
      </c>
      <c r="D64" s="289">
        <f>((15*((TIME(0,min_l,$B64))*24))-(INT(15*(TIME(0,min_l,$B64)*24))))*60</f>
        <v>26.499999999999986</v>
      </c>
      <c r="E64" s="288">
        <f>INT(15.0410844436191*(TIME(0,min_l,$B64)*24))</f>
        <v>13</v>
      </c>
      <c r="F64" s="289">
        <f>((15.04167*((TIME(0,min_l,$B64))*24))-(INT(15.04167*(TIME(0,min_l,$B64)*24))))*60</f>
        <v>28.740456999999928</v>
      </c>
      <c r="G64" s="288">
        <f>INT(14.31667*(TIME(0,min_l,$B64)*24))</f>
        <v>12</v>
      </c>
      <c r="H64" s="289">
        <f>((14.31667*((TIME(0,min_l,$B64))*24))-(INT(14.31667*(TIME(0,min_l,$B64)*24))))*60</f>
        <v>49.759623666666606</v>
      </c>
      <c r="I64" s="297">
        <v>13.800000000000011</v>
      </c>
      <c r="J64" s="295">
        <f>I64/60*min_l</f>
        <v>12.19000000000001</v>
      </c>
      <c r="K64" s="296">
        <v>46</v>
      </c>
      <c r="L64" s="288">
        <f>INT(15*(TIME(0,min_r,$K64)*24))</f>
        <v>13</v>
      </c>
      <c r="M64" s="289">
        <f>((15*((TIME(0,min_r,$K64))*24))-(INT(15*(TIME(0,min_r,$K64)*24))))*60</f>
        <v>41.50000000000009</v>
      </c>
      <c r="N64" s="288">
        <f>INT(15.0410844436191*(TIME(0,min_r,$K64)*24))</f>
        <v>13</v>
      </c>
      <c r="O64" s="289">
        <f>((15.04167*((TIME(0,min_r,$K64))*24))-(INT(15.04167*(TIME(0,min_r,$K64)*24))))*60</f>
        <v>43.78212700000013</v>
      </c>
      <c r="P64" s="288">
        <f>INT(14.31667*(TIME(0,min_r,$K64)*24))</f>
        <v>13</v>
      </c>
      <c r="Q64" s="289">
        <f>((14.31667*((TIME(0,min_r,$K64))*24))-(INT(14.31667*(TIME(0,min_r,$K64)*24))))*60</f>
        <v>4.076293666666828</v>
      </c>
      <c r="R64" s="297">
        <v>13.800000000000011</v>
      </c>
      <c r="S64" s="298">
        <f>R64/60*min_r</f>
        <v>12.420000000000009</v>
      </c>
      <c r="T64" s="299"/>
    </row>
    <row r="65" spans="1:20" ht="15">
      <c r="A65" s="273"/>
      <c r="B65" s="296">
        <v>47</v>
      </c>
      <c r="C65" s="288">
        <f>INT(15*(TIME(0,min_l,$B65)*24))</f>
        <v>13</v>
      </c>
      <c r="D65" s="289">
        <f>((15*((TIME(0,min_l,$B65))*24))-(INT(15*(TIME(0,min_l,$B65)*24))))*60</f>
        <v>26.74999999999997</v>
      </c>
      <c r="E65" s="288">
        <f>INT(15.0410844436191*(TIME(0,min_l,$B65)*24))</f>
        <v>13</v>
      </c>
      <c r="F65" s="289">
        <f>((15.04167*((TIME(0,min_l,$B65))*24))-(INT(15.04167*(TIME(0,min_l,$B65)*24))))*60</f>
        <v>28.991151500000036</v>
      </c>
      <c r="G65" s="288">
        <f>INT(14.31667*(TIME(0,min_l,$B65)*24))</f>
        <v>12</v>
      </c>
      <c r="H65" s="289">
        <f>((14.31667*((TIME(0,min_l,$B65))*24))-(INT(14.31667*(TIME(0,min_l,$B65)*24))))*60</f>
        <v>49.998234833333335</v>
      </c>
      <c r="I65" s="297">
        <v>14.100000000000012</v>
      </c>
      <c r="J65" s="295">
        <f>I65/60*min_l</f>
        <v>12.45500000000001</v>
      </c>
      <c r="K65" s="296">
        <v>47</v>
      </c>
      <c r="L65" s="288">
        <f>INT(15*(TIME(0,min_r,$K65)*24))</f>
        <v>13</v>
      </c>
      <c r="M65" s="289">
        <f>((15*((TIME(0,min_r,$K65))*24))-(INT(15*(TIME(0,min_r,$K65)*24))))*60</f>
        <v>41.74999999999997</v>
      </c>
      <c r="N65" s="288">
        <f>INT(15.0410844436191*(TIME(0,min_r,$K65)*24))</f>
        <v>13</v>
      </c>
      <c r="O65" s="289">
        <f>((15.04167*((TIME(0,min_r,$K65))*24))-(INT(15.04167*(TIME(0,min_r,$K65)*24))))*60</f>
        <v>44.03282149999992</v>
      </c>
      <c r="P65" s="288">
        <f>INT(14.31667*(TIME(0,min_r,$K65)*24))</f>
        <v>13</v>
      </c>
      <c r="Q65" s="289">
        <f>((14.31667*((TIME(0,min_r,$K65))*24))-(INT(14.31667*(TIME(0,min_r,$K65)*24))))*60</f>
        <v>4.314904833333344</v>
      </c>
      <c r="R65" s="297">
        <v>14.100000000000012</v>
      </c>
      <c r="S65" s="298">
        <f>R65/60*min_r</f>
        <v>12.690000000000012</v>
      </c>
      <c r="T65" s="299"/>
    </row>
    <row r="66" spans="1:20" ht="15">
      <c r="A66" s="273"/>
      <c r="B66" s="296">
        <v>48</v>
      </c>
      <c r="C66" s="288">
        <f>INT(15*(TIME(0,min_l,$B66)*24))</f>
        <v>13</v>
      </c>
      <c r="D66" s="289">
        <f>((15*((TIME(0,min_l,$B66))*24))-(INT(15*(TIME(0,min_l,$B66)*24))))*60</f>
        <v>26.999999999999957</v>
      </c>
      <c r="E66" s="288">
        <f>INT(15.0410844436191*(TIME(0,min_l,$B66)*24))</f>
        <v>13</v>
      </c>
      <c r="F66" s="289">
        <f>((15.04167*((TIME(0,min_l,$B66))*24))-(INT(15.04167*(TIME(0,min_l,$B66)*24))))*60</f>
        <v>29.24184599999993</v>
      </c>
      <c r="G66" s="288">
        <f>INT(14.31667*(TIME(0,min_l,$B66)*24))</f>
        <v>12</v>
      </c>
      <c r="H66" s="289">
        <f>((14.31667*((TIME(0,min_l,$B66))*24))-(INT(14.31667*(TIME(0,min_l,$B66)*24))))*60</f>
        <v>50.23684599999996</v>
      </c>
      <c r="I66" s="297">
        <v>14.400000000000013</v>
      </c>
      <c r="J66" s="295">
        <f>I66/60*min_l</f>
        <v>12.720000000000011</v>
      </c>
      <c r="K66" s="296">
        <v>48</v>
      </c>
      <c r="L66" s="288">
        <f>INT(15*(TIME(0,min_r,$K66)*24))</f>
        <v>13</v>
      </c>
      <c r="M66" s="289">
        <f>((15*((TIME(0,min_r,$K66))*24))-(INT(15*(TIME(0,min_r,$K66)*24))))*60</f>
        <v>41.99999999999996</v>
      </c>
      <c r="N66" s="288">
        <f>INT(15.0410844436191*(TIME(0,min_r,$K66)*24))</f>
        <v>13</v>
      </c>
      <c r="O66" s="289">
        <f>((15.04167*((TIME(0,min_r,$K66))*24))-(INT(15.04167*(TIME(0,min_r,$K66)*24))))*60</f>
        <v>44.28351600000003</v>
      </c>
      <c r="P66" s="288">
        <f>INT(14.31667*(TIME(0,min_r,$K66)*24))</f>
        <v>13</v>
      </c>
      <c r="Q66" s="289">
        <f>((14.31667*((TIME(0,min_r,$K66))*24))-(INT(14.31667*(TIME(0,min_r,$K66)*24))))*60</f>
        <v>4.553515999999966</v>
      </c>
      <c r="R66" s="297">
        <v>14.400000000000013</v>
      </c>
      <c r="S66" s="298">
        <f>R66/60*min_r</f>
        <v>12.960000000000012</v>
      </c>
      <c r="T66" s="299"/>
    </row>
    <row r="67" spans="1:20" ht="15">
      <c r="A67" s="273"/>
      <c r="B67" s="296">
        <v>49</v>
      </c>
      <c r="C67" s="288">
        <f>INT(15*(TIME(0,min_l,$B67)*24))</f>
        <v>13</v>
      </c>
      <c r="D67" s="289">
        <f>((15*((TIME(0,min_l,$B67))*24))-(INT(15*(TIME(0,min_l,$B67)*24))))*60</f>
        <v>27.25000000000005</v>
      </c>
      <c r="E67" s="288">
        <f>INT(15.0410844436191*(TIME(0,min_l,$B67)*24))</f>
        <v>13</v>
      </c>
      <c r="F67" s="289">
        <f>((15.04167*((TIME(0,min_l,$B67))*24))-(INT(15.04167*(TIME(0,min_l,$B67)*24))))*60</f>
        <v>29.49254050000004</v>
      </c>
      <c r="G67" s="288">
        <f>INT(14.31667*(TIME(0,min_l,$B67)*24))</f>
        <v>12</v>
      </c>
      <c r="H67" s="289">
        <f>((14.31667*((TIME(0,min_l,$B67))*24))-(INT(14.31667*(TIME(0,min_l,$B67)*24))))*60</f>
        <v>50.47545716666679</v>
      </c>
      <c r="I67" s="297">
        <v>14.700000000000014</v>
      </c>
      <c r="J67" s="295">
        <f>I67/60*min_l</f>
        <v>12.985000000000012</v>
      </c>
      <c r="K67" s="296">
        <v>49</v>
      </c>
      <c r="L67" s="288">
        <f>INT(15*(TIME(0,min_r,$K67)*24))</f>
        <v>13</v>
      </c>
      <c r="M67" s="289">
        <f>((15*((TIME(0,min_r,$K67))*24))-(INT(15*(TIME(0,min_r,$K67)*24))))*60</f>
        <v>42.25000000000005</v>
      </c>
      <c r="N67" s="288">
        <f>INT(15.0410844436191*(TIME(0,min_r,$K67)*24))</f>
        <v>13</v>
      </c>
      <c r="O67" s="289">
        <f>((15.04167*((TIME(0,min_r,$K67))*24))-(INT(15.04167*(TIME(0,min_r,$K67)*24))))*60</f>
        <v>44.53421050000003</v>
      </c>
      <c r="P67" s="288">
        <f>INT(14.31667*(TIME(0,min_r,$K67)*24))</f>
        <v>13</v>
      </c>
      <c r="Q67" s="289">
        <f>((14.31667*((TIME(0,min_r,$K67))*24))-(INT(14.31667*(TIME(0,min_r,$K67)*24))))*60</f>
        <v>4.792127166666695</v>
      </c>
      <c r="R67" s="297">
        <v>14.700000000000014</v>
      </c>
      <c r="S67" s="298">
        <f>R67/60*min_r</f>
        <v>13.230000000000011</v>
      </c>
      <c r="T67" s="299"/>
    </row>
    <row r="68" spans="1:20" ht="6.75" customHeight="1">
      <c r="A68" s="273"/>
      <c r="B68" s="296"/>
      <c r="C68" s="288"/>
      <c r="D68" s="289"/>
      <c r="E68" s="288"/>
      <c r="F68" s="289"/>
      <c r="G68" s="288"/>
      <c r="H68" s="289"/>
      <c r="I68" s="297"/>
      <c r="J68" s="295"/>
      <c r="K68" s="296"/>
      <c r="L68" s="288"/>
      <c r="M68" s="289"/>
      <c r="N68" s="288"/>
      <c r="O68" s="289"/>
      <c r="P68" s="288"/>
      <c r="Q68" s="289"/>
      <c r="R68" s="297"/>
      <c r="S68" s="298"/>
      <c r="T68" s="299"/>
    </row>
    <row r="69" spans="1:20" ht="15">
      <c r="A69" s="273"/>
      <c r="B69" s="296">
        <v>50</v>
      </c>
      <c r="C69" s="288">
        <f>INT(15*(TIME(0,min_l,$B69)*24))</f>
        <v>13</v>
      </c>
      <c r="D69" s="289">
        <f>((15*((TIME(0,min_l,$B69))*24))-(INT(15*(TIME(0,min_l,$B69)*24))))*60</f>
        <v>27.500000000000142</v>
      </c>
      <c r="E69" s="288">
        <f>INT(15.0410844436191*(TIME(0,min_l,$B69)*24))</f>
        <v>13</v>
      </c>
      <c r="F69" s="289">
        <f>((15.04167*((TIME(0,min_l,$B69))*24))-(INT(15.04167*(TIME(0,min_l,$B69)*24))))*60</f>
        <v>29.743235000000148</v>
      </c>
      <c r="G69" s="288">
        <f>INT(14.31667*(TIME(0,min_l,$B69)*24))</f>
        <v>12</v>
      </c>
      <c r="H69" s="289">
        <f>((14.31667*((TIME(0,min_l,$B69))*24))-(INT(14.31667*(TIME(0,min_l,$B69)*24))))*60</f>
        <v>50.71406833333352</v>
      </c>
      <c r="I69" s="297">
        <v>15.000000000000014</v>
      </c>
      <c r="J69" s="295">
        <f>I69/60*min_l</f>
        <v>13.250000000000012</v>
      </c>
      <c r="K69" s="296">
        <v>50</v>
      </c>
      <c r="L69" s="288">
        <f>INT(15*(TIME(0,min_r,$K69)*24))</f>
        <v>13</v>
      </c>
      <c r="M69" s="289">
        <f>((15*((TIME(0,min_r,$K69))*24))-(INT(15*(TIME(0,min_r,$K69)*24))))*60</f>
        <v>42.500000000000036</v>
      </c>
      <c r="N69" s="288">
        <f>INT(15.0410844436191*(TIME(0,min_r,$K69)*24))</f>
        <v>13</v>
      </c>
      <c r="O69" s="289">
        <f>((15.04167*((TIME(0,min_r,$K69))*24))-(INT(15.04167*(TIME(0,min_r,$K69)*24))))*60</f>
        <v>44.78490500000003</v>
      </c>
      <c r="P69" s="288">
        <f>INT(14.31667*(TIME(0,min_r,$K69)*24))</f>
        <v>13</v>
      </c>
      <c r="Q69" s="289">
        <f>((14.31667*((TIME(0,min_r,$K69))*24))-(INT(14.31667*(TIME(0,min_r,$K69)*24))))*60</f>
        <v>5.030738333333424</v>
      </c>
      <c r="R69" s="297">
        <v>15.000000000000014</v>
      </c>
      <c r="S69" s="298">
        <f>R69/60*min_r</f>
        <v>13.500000000000012</v>
      </c>
      <c r="T69" s="299"/>
    </row>
    <row r="70" spans="1:20" ht="15">
      <c r="A70" s="273"/>
      <c r="B70" s="296">
        <v>51</v>
      </c>
      <c r="C70" s="288">
        <f>INT(15*(TIME(0,min_l,$B70)*24))</f>
        <v>13</v>
      </c>
      <c r="D70" s="289">
        <f>((15*((TIME(0,min_l,$B70))*24))-(INT(15*(TIME(0,min_l,$B70)*24))))*60</f>
        <v>27.75000000000002</v>
      </c>
      <c r="E70" s="288">
        <f>INT(15.0410844436191*(TIME(0,min_l,$B70)*24))</f>
        <v>13</v>
      </c>
      <c r="F70" s="289">
        <f>((15.04167*((TIME(0,min_l,$B70))*24))-(INT(15.04167*(TIME(0,min_l,$B70)*24))))*60</f>
        <v>29.993929500000043</v>
      </c>
      <c r="G70" s="288">
        <f>INT(14.31667*(TIME(0,min_l,$B70)*24))</f>
        <v>12</v>
      </c>
      <c r="H70" s="289">
        <f>((14.31667*((TIME(0,min_l,$B70))*24))-(INT(14.31667*(TIME(0,min_l,$B70)*24))))*60</f>
        <v>50.95267950000004</v>
      </c>
      <c r="I70" s="297">
        <v>15.300000000000015</v>
      </c>
      <c r="J70" s="295">
        <f>I70/60*min_l</f>
        <v>13.515000000000011</v>
      </c>
      <c r="K70" s="296">
        <v>51</v>
      </c>
      <c r="L70" s="288">
        <f>INT(15*(TIME(0,min_r,$K70)*24))</f>
        <v>13</v>
      </c>
      <c r="M70" s="289">
        <f>((15*((TIME(0,min_r,$K70))*24))-(INT(15*(TIME(0,min_r,$K70)*24))))*60</f>
        <v>42.75000000000002</v>
      </c>
      <c r="N70" s="288">
        <f>INT(15.0410844436191*(TIME(0,min_r,$K70)*24))</f>
        <v>13</v>
      </c>
      <c r="O70" s="289">
        <f>((15.04167*((TIME(0,min_r,$K70))*24))-(INT(15.04167*(TIME(0,min_r,$K70)*24))))*60</f>
        <v>45.03559950000003</v>
      </c>
      <c r="P70" s="288">
        <f>INT(14.31667*(TIME(0,min_r,$K70)*24))</f>
        <v>13</v>
      </c>
      <c r="Q70" s="289">
        <f>((14.31667*((TIME(0,min_r,$K70))*24))-(INT(14.31667*(TIME(0,min_r,$K70)*24))))*60</f>
        <v>5.269349500000047</v>
      </c>
      <c r="R70" s="297">
        <v>15.300000000000015</v>
      </c>
      <c r="S70" s="298">
        <f>R70/60*min_r</f>
        <v>13.770000000000012</v>
      </c>
      <c r="T70" s="299"/>
    </row>
    <row r="71" spans="1:20" ht="15">
      <c r="A71" s="273"/>
      <c r="B71" s="296">
        <v>52</v>
      </c>
      <c r="C71" s="288">
        <f>INT(15*(TIME(0,min_l,$B71)*24))</f>
        <v>13</v>
      </c>
      <c r="D71" s="289">
        <f>((15*((TIME(0,min_l,$B71))*24))-(INT(15*(TIME(0,min_l,$B71)*24))))*60</f>
        <v>28.000000000000007</v>
      </c>
      <c r="E71" s="288">
        <f>INT(15.0410844436191*(TIME(0,min_l,$B71)*24))</f>
        <v>13</v>
      </c>
      <c r="F71" s="289">
        <f>((15.04167*((TIME(0,min_l,$B71))*24))-(INT(15.04167*(TIME(0,min_l,$B71)*24))))*60</f>
        <v>30.244624000000044</v>
      </c>
      <c r="G71" s="288">
        <f>INT(14.31667*(TIME(0,min_l,$B71)*24))</f>
        <v>12</v>
      </c>
      <c r="H71" s="289">
        <f>((14.31667*((TIME(0,min_l,$B71))*24))-(INT(14.31667*(TIME(0,min_l,$B71)*24))))*60</f>
        <v>51.19129066666666</v>
      </c>
      <c r="I71" s="297">
        <v>15.600000000000016</v>
      </c>
      <c r="J71" s="295">
        <f>I71/60*min_l</f>
        <v>13.780000000000015</v>
      </c>
      <c r="K71" s="296">
        <v>52</v>
      </c>
      <c r="L71" s="288">
        <f>INT(15*(TIME(0,min_r,$K71)*24))</f>
        <v>13</v>
      </c>
      <c r="M71" s="289">
        <f>((15*((TIME(0,min_r,$K71))*24))-(INT(15*(TIME(0,min_r,$K71)*24))))*60</f>
        <v>42.9999999999999</v>
      </c>
      <c r="N71" s="288">
        <f>INT(15.0410844436191*(TIME(0,min_r,$K71)*24))</f>
        <v>13</v>
      </c>
      <c r="O71" s="289">
        <f>((15.04167*((TIME(0,min_r,$K71))*24))-(INT(15.04167*(TIME(0,min_r,$K71)*24))))*60</f>
        <v>45.28629399999993</v>
      </c>
      <c r="P71" s="288">
        <f>INT(14.31667*(TIME(0,min_r,$K71)*24))</f>
        <v>13</v>
      </c>
      <c r="Q71" s="289">
        <f>((14.31667*((TIME(0,min_r,$K71))*24))-(INT(14.31667*(TIME(0,min_r,$K71)*24))))*60</f>
        <v>5.507960666666669</v>
      </c>
      <c r="R71" s="297">
        <v>15.600000000000016</v>
      </c>
      <c r="S71" s="298">
        <f>R71/60*min_r</f>
        <v>14.040000000000015</v>
      </c>
      <c r="T71" s="299"/>
    </row>
    <row r="72" spans="1:20" ht="15">
      <c r="A72" s="273"/>
      <c r="B72" s="296">
        <v>53</v>
      </c>
      <c r="C72" s="288">
        <f>INT(15*(TIME(0,min_l,$B72)*24))</f>
        <v>13</v>
      </c>
      <c r="D72" s="289">
        <f>((15*((TIME(0,min_l,$B72))*24))-(INT(15*(TIME(0,min_l,$B72)*24))))*60</f>
        <v>28.249999999999886</v>
      </c>
      <c r="E72" s="288">
        <f>INT(15.0410844436191*(TIME(0,min_l,$B72)*24))</f>
        <v>13</v>
      </c>
      <c r="F72" s="289">
        <f>((15.04167*((TIME(0,min_l,$B72))*24))-(INT(15.04167*(TIME(0,min_l,$B72)*24))))*60</f>
        <v>30.495318499999833</v>
      </c>
      <c r="G72" s="288">
        <f>INT(14.31667*(TIME(0,min_l,$B72)*24))</f>
        <v>12</v>
      </c>
      <c r="H72" s="289">
        <f>((14.31667*((TIME(0,min_l,$B72))*24))-(INT(14.31667*(TIME(0,min_l,$B72)*24))))*60</f>
        <v>51.429901833333176</v>
      </c>
      <c r="I72" s="297">
        <v>15.900000000000016</v>
      </c>
      <c r="J72" s="295">
        <f>I72/60*min_l</f>
        <v>14.045000000000016</v>
      </c>
      <c r="K72" s="296">
        <v>53</v>
      </c>
      <c r="L72" s="288">
        <f>INT(15*(TIME(0,min_r,$K72)*24))</f>
        <v>13</v>
      </c>
      <c r="M72" s="289">
        <f>((15*((TIME(0,min_r,$K72))*24))-(INT(15*(TIME(0,min_r,$K72)*24))))*60</f>
        <v>43.24999999999999</v>
      </c>
      <c r="N72" s="288">
        <f>INT(15.0410844436191*(TIME(0,min_r,$K72)*24))</f>
        <v>13</v>
      </c>
      <c r="O72" s="289">
        <f>((15.04167*((TIME(0,min_r,$K72))*24))-(INT(15.04167*(TIME(0,min_r,$K72)*24))))*60</f>
        <v>45.536988500000035</v>
      </c>
      <c r="P72" s="288">
        <f>INT(14.31667*(TIME(0,min_r,$K72)*24))</f>
        <v>13</v>
      </c>
      <c r="Q72" s="289">
        <f>((14.31667*((TIME(0,min_r,$K72))*24))-(INT(14.31667*(TIME(0,min_r,$K72)*24))))*60</f>
        <v>5.746571833333292</v>
      </c>
      <c r="R72" s="297">
        <v>15.900000000000016</v>
      </c>
      <c r="S72" s="298">
        <f>R72/60*min_r</f>
        <v>14.310000000000016</v>
      </c>
      <c r="T72" s="299"/>
    </row>
    <row r="73" spans="1:20" ht="15">
      <c r="A73" s="273"/>
      <c r="B73" s="296">
        <v>54</v>
      </c>
      <c r="C73" s="288">
        <f>INT(15*(TIME(0,min_l,$B73)*24))</f>
        <v>13</v>
      </c>
      <c r="D73" s="289">
        <f>((15*((TIME(0,min_l,$B73))*24))-(INT(15*(TIME(0,min_l,$B73)*24))))*60</f>
        <v>28.500000000000085</v>
      </c>
      <c r="E73" s="288">
        <f>INT(15.0410844436191*(TIME(0,min_l,$B73)*24))</f>
        <v>13</v>
      </c>
      <c r="F73" s="289">
        <f>((15.04167*((TIME(0,min_l,$B73))*24))-(INT(15.04167*(TIME(0,min_l,$B73)*24))))*60</f>
        <v>30.746013000000048</v>
      </c>
      <c r="G73" s="288">
        <f>INT(14.31667*(TIME(0,min_l,$B73)*24))</f>
        <v>12</v>
      </c>
      <c r="H73" s="289">
        <f>((14.31667*((TIME(0,min_l,$B73))*24))-(INT(14.31667*(TIME(0,min_l,$B73)*24))))*60</f>
        <v>51.66851300000012</v>
      </c>
      <c r="I73" s="297">
        <v>16.200000000000017</v>
      </c>
      <c r="J73" s="295">
        <f>I73/60*min_l</f>
        <v>14.310000000000016</v>
      </c>
      <c r="K73" s="296">
        <v>54</v>
      </c>
      <c r="L73" s="288">
        <f>INT(15*(TIME(0,min_r,$K73)*24))</f>
        <v>13</v>
      </c>
      <c r="M73" s="289">
        <f>((15*((TIME(0,min_r,$K73))*24))-(INT(15*(TIME(0,min_r,$K73)*24))))*60</f>
        <v>43.500000000000085</v>
      </c>
      <c r="N73" s="288">
        <f>INT(15.0410844436191*(TIME(0,min_r,$K73)*24))</f>
        <v>13</v>
      </c>
      <c r="O73" s="289">
        <f>((15.04167*((TIME(0,min_r,$K73))*24))-(INT(15.04167*(TIME(0,min_r,$K73)*24))))*60</f>
        <v>45.78768300000004</v>
      </c>
      <c r="P73" s="288">
        <f>INT(14.31667*(TIME(0,min_r,$K73)*24))</f>
        <v>13</v>
      </c>
      <c r="Q73" s="289">
        <f>((14.31667*((TIME(0,min_r,$K73))*24))-(INT(14.31667*(TIME(0,min_r,$K73)*24))))*60</f>
        <v>5.985183000000021</v>
      </c>
      <c r="R73" s="297">
        <v>16.200000000000017</v>
      </c>
      <c r="S73" s="298">
        <f>R73/60*min_r</f>
        <v>14.580000000000016</v>
      </c>
      <c r="T73" s="299"/>
    </row>
    <row r="74" spans="1:20" ht="6.75" customHeight="1">
      <c r="A74" s="273"/>
      <c r="B74" s="296"/>
      <c r="C74" s="288"/>
      <c r="D74" s="289"/>
      <c r="E74" s="288"/>
      <c r="F74" s="289"/>
      <c r="G74" s="288"/>
      <c r="H74" s="289"/>
      <c r="I74" s="297"/>
      <c r="J74" s="295"/>
      <c r="K74" s="296"/>
      <c r="L74" s="288"/>
      <c r="M74" s="289"/>
      <c r="N74" s="288"/>
      <c r="O74" s="289"/>
      <c r="P74" s="288"/>
      <c r="Q74" s="289"/>
      <c r="R74" s="297"/>
      <c r="S74" s="298"/>
      <c r="T74" s="299"/>
    </row>
    <row r="75" spans="1:20" ht="15">
      <c r="A75" s="273"/>
      <c r="B75" s="296">
        <v>55</v>
      </c>
      <c r="C75" s="288">
        <f>INT(15*(TIME(0,min_l,$B75)*24))</f>
        <v>13</v>
      </c>
      <c r="D75" s="289">
        <f>((15*((TIME(0,min_l,$B75))*24))-(INT(15*(TIME(0,min_l,$B75)*24))))*60</f>
        <v>28.749999999999964</v>
      </c>
      <c r="E75" s="288">
        <f>INT(15.0410844436191*(TIME(0,min_l,$B75)*24))</f>
        <v>13</v>
      </c>
      <c r="F75" s="289">
        <f>((15.04167*((TIME(0,min_l,$B75))*24))-(INT(15.04167*(TIME(0,min_l,$B75)*24))))*60</f>
        <v>30.996707499999943</v>
      </c>
      <c r="G75" s="288">
        <f>INT(14.31667*(TIME(0,min_l,$B75)*24))</f>
        <v>12</v>
      </c>
      <c r="H75" s="289">
        <f>((14.31667*((TIME(0,min_l,$B75))*24))-(INT(14.31667*(TIME(0,min_l,$B75)*24))))*60</f>
        <v>51.907124166666634</v>
      </c>
      <c r="I75" s="297">
        <v>16.500000000000018</v>
      </c>
      <c r="J75" s="295">
        <f>I75/60*min_l</f>
        <v>14.575000000000015</v>
      </c>
      <c r="K75" s="296">
        <v>55</v>
      </c>
      <c r="L75" s="288">
        <f>INT(15*(TIME(0,min_r,$K75)*24))</f>
        <v>13</v>
      </c>
      <c r="M75" s="289">
        <f>((15*((TIME(0,min_r,$K75))*24))-(INT(15*(TIME(0,min_r,$K75)*24))))*60</f>
        <v>43.749999999999964</v>
      </c>
      <c r="N75" s="288">
        <f>INT(15.0410844436191*(TIME(0,min_r,$K75)*24))</f>
        <v>13</v>
      </c>
      <c r="O75" s="289">
        <f>((15.04167*((TIME(0,min_r,$K75))*24))-(INT(15.04167*(TIME(0,min_r,$K75)*24))))*60</f>
        <v>46.03837749999993</v>
      </c>
      <c r="P75" s="288">
        <f>INT(14.31667*(TIME(0,min_r,$K75)*24))</f>
        <v>13</v>
      </c>
      <c r="Q75" s="289">
        <f>((14.31667*((TIME(0,min_r,$K75))*24))-(INT(14.31667*(TIME(0,min_r,$K75)*24))))*60</f>
        <v>6.223794166666643</v>
      </c>
      <c r="R75" s="297">
        <v>16.500000000000018</v>
      </c>
      <c r="S75" s="298">
        <f>R75/60*min_r</f>
        <v>14.850000000000016</v>
      </c>
      <c r="T75" s="299"/>
    </row>
    <row r="76" spans="1:20" ht="15">
      <c r="A76" s="273"/>
      <c r="B76" s="296">
        <v>56</v>
      </c>
      <c r="C76" s="288">
        <f>INT(15*(TIME(0,min_l,$B76)*24))</f>
        <v>13</v>
      </c>
      <c r="D76" s="289">
        <f>((15*((TIME(0,min_l,$B76))*24))-(INT(15*(TIME(0,min_l,$B76)*24))))*60</f>
        <v>28.99999999999995</v>
      </c>
      <c r="E76" s="288">
        <f>INT(15.0410844436191*(TIME(0,min_l,$B76)*24))</f>
        <v>13</v>
      </c>
      <c r="F76" s="289">
        <f>((15.04167*((TIME(0,min_l,$B76))*24))-(INT(15.04167*(TIME(0,min_l,$B76)*24))))*60</f>
        <v>31.247401999999944</v>
      </c>
      <c r="G76" s="288">
        <f>INT(14.31667*(TIME(0,min_l,$B76)*24))</f>
        <v>12</v>
      </c>
      <c r="H76" s="289">
        <f>((14.31667*((TIME(0,min_l,$B76))*24))-(INT(14.31667*(TIME(0,min_l,$B76)*24))))*60</f>
        <v>52.14573533333336</v>
      </c>
      <c r="I76" s="297">
        <v>16.80000000000002</v>
      </c>
      <c r="J76" s="295">
        <f>I76/60*min_l</f>
        <v>14.840000000000016</v>
      </c>
      <c r="K76" s="296">
        <v>56</v>
      </c>
      <c r="L76" s="288">
        <f>INT(15*(TIME(0,min_r,$K76)*24))</f>
        <v>13</v>
      </c>
      <c r="M76" s="289">
        <f>((15*((TIME(0,min_r,$K76))*24))-(INT(15*(TIME(0,min_r,$K76)*24))))*60</f>
        <v>43.99999999999995</v>
      </c>
      <c r="N76" s="288">
        <f>INT(15.0410844436191*(TIME(0,min_r,$K76)*24))</f>
        <v>13</v>
      </c>
      <c r="O76" s="289">
        <f>((15.04167*((TIME(0,min_r,$K76))*24))-(INT(15.04167*(TIME(0,min_r,$K76)*24))))*60</f>
        <v>46.28907199999993</v>
      </c>
      <c r="P76" s="288">
        <f>INT(14.31667*(TIME(0,min_r,$K76)*24))</f>
        <v>13</v>
      </c>
      <c r="Q76" s="289">
        <f>((14.31667*((TIME(0,min_r,$K76))*24))-(INT(14.31667*(TIME(0,min_r,$K76)*24))))*60</f>
        <v>6.462405333333265</v>
      </c>
      <c r="R76" s="297">
        <v>16.80000000000002</v>
      </c>
      <c r="S76" s="298">
        <f>R76/60*min_r</f>
        <v>15.120000000000017</v>
      </c>
      <c r="T76" s="299"/>
    </row>
    <row r="77" spans="1:20" ht="15">
      <c r="A77" s="273"/>
      <c r="B77" s="296">
        <v>57</v>
      </c>
      <c r="C77" s="288">
        <f>INT(15*(TIME(0,min_l,$B77)*24))</f>
        <v>13</v>
      </c>
      <c r="D77" s="289">
        <f>((15*((TIME(0,min_l,$B77))*24))-(INT(15*(TIME(0,min_l,$B77)*24))))*60</f>
        <v>29.250000000000043</v>
      </c>
      <c r="E77" s="288">
        <f>INT(15.0410844436191*(TIME(0,min_l,$B77)*24))</f>
        <v>13</v>
      </c>
      <c r="F77" s="289">
        <f>((15.04167*((TIME(0,min_l,$B77))*24))-(INT(15.04167*(TIME(0,min_l,$B77)*24))))*60</f>
        <v>31.498096499999946</v>
      </c>
      <c r="G77" s="288">
        <f>INT(14.31667*(TIME(0,min_l,$B77)*24))</f>
        <v>12</v>
      </c>
      <c r="H77" s="289">
        <f>((14.31667*((TIME(0,min_l,$B77))*24))-(INT(14.31667*(TIME(0,min_l,$B77)*24))))*60</f>
        <v>52.384346499999985</v>
      </c>
      <c r="I77" s="297">
        <v>17.10000000000002</v>
      </c>
      <c r="J77" s="295">
        <f>I77/60*min_l</f>
        <v>15.105000000000016</v>
      </c>
      <c r="K77" s="296">
        <v>57</v>
      </c>
      <c r="L77" s="288">
        <f>INT(15*(TIME(0,min_r,$K77)*24))</f>
        <v>13</v>
      </c>
      <c r="M77" s="289">
        <f>((15*((TIME(0,min_r,$K77))*24))-(INT(15*(TIME(0,min_r,$K77)*24))))*60</f>
        <v>44.25000000000015</v>
      </c>
      <c r="N77" s="288">
        <f>INT(15.0410844436191*(TIME(0,min_r,$K77)*24))</f>
        <v>13</v>
      </c>
      <c r="O77" s="289">
        <f>((15.04167*((TIME(0,min_r,$K77))*24))-(INT(15.04167*(TIME(0,min_r,$K77)*24))))*60</f>
        <v>46.53976650000015</v>
      </c>
      <c r="P77" s="288">
        <f>INT(14.31667*(TIME(0,min_r,$K77)*24))</f>
        <v>13</v>
      </c>
      <c r="Q77" s="289">
        <f>((14.31667*((TIME(0,min_r,$K77))*24))-(INT(14.31667*(TIME(0,min_r,$K77)*24))))*60</f>
        <v>6.7010165000002075</v>
      </c>
      <c r="R77" s="297">
        <v>17.10000000000002</v>
      </c>
      <c r="S77" s="298">
        <f>R77/60*min_r</f>
        <v>15.390000000000017</v>
      </c>
      <c r="T77" s="299"/>
    </row>
    <row r="78" spans="1:20" ht="15">
      <c r="A78" s="273"/>
      <c r="B78" s="296">
        <v>58</v>
      </c>
      <c r="C78" s="288">
        <f>INT(15*(TIME(0,min_l,$B78)*24))</f>
        <v>13</v>
      </c>
      <c r="D78" s="289">
        <f>((15*((TIME(0,min_l,$B78))*24))-(INT(15*(TIME(0,min_l,$B78)*24))))*60</f>
        <v>29.50000000000003</v>
      </c>
      <c r="E78" s="288">
        <f>INT(15.0410844436191*(TIME(0,min_l,$B78)*24))</f>
        <v>13</v>
      </c>
      <c r="F78" s="289">
        <f>((15.04167*((TIME(0,min_l,$B78))*24))-(INT(15.04167*(TIME(0,min_l,$B78)*24))))*60</f>
        <v>31.748791000000054</v>
      </c>
      <c r="G78" s="288">
        <f>INT(14.31667*(TIME(0,min_l,$B78)*24))</f>
        <v>12</v>
      </c>
      <c r="H78" s="289">
        <f>((14.31667*((TIME(0,min_l,$B78))*24))-(INT(14.31667*(TIME(0,min_l,$B78)*24))))*60</f>
        <v>52.622957666666714</v>
      </c>
      <c r="I78" s="297">
        <v>17.40000000000002</v>
      </c>
      <c r="J78" s="295">
        <f>I78/60*min_l</f>
        <v>15.370000000000017</v>
      </c>
      <c r="K78" s="296">
        <v>58</v>
      </c>
      <c r="L78" s="288">
        <f>INT(15*(TIME(0,min_r,$K78)*24))</f>
        <v>13</v>
      </c>
      <c r="M78" s="289">
        <f>((15*((TIME(0,min_r,$K78))*24))-(INT(15*(TIME(0,min_r,$K78)*24))))*60</f>
        <v>44.50000000000003</v>
      </c>
      <c r="N78" s="288">
        <f>INT(15.0410844436191*(TIME(0,min_r,$K78)*24))</f>
        <v>13</v>
      </c>
      <c r="O78" s="289">
        <f>((15.04167*((TIME(0,min_r,$K78))*24))-(INT(15.04167*(TIME(0,min_r,$K78)*24))))*60</f>
        <v>46.79046099999994</v>
      </c>
      <c r="P78" s="288">
        <f>INT(14.31667*(TIME(0,min_r,$K78)*24))</f>
        <v>13</v>
      </c>
      <c r="Q78" s="289">
        <f>((14.31667*((TIME(0,min_r,$K78))*24))-(INT(14.31667*(TIME(0,min_r,$K78)*24))))*60</f>
        <v>6.939627666666617</v>
      </c>
      <c r="R78" s="297">
        <v>17.40000000000002</v>
      </c>
      <c r="S78" s="298">
        <f>R78/60*min_r</f>
        <v>15.660000000000016</v>
      </c>
      <c r="T78" s="299"/>
    </row>
    <row r="79" spans="1:20" ht="15.75" thickBot="1">
      <c r="A79" s="273"/>
      <c r="B79" s="301">
        <v>59</v>
      </c>
      <c r="C79" s="302">
        <f>INT(15*(TIME(0,min_l,$B79)*24))</f>
        <v>13</v>
      </c>
      <c r="D79" s="303">
        <f>((15*((TIME(0,min_l,$B79))*24))-(INT(15*(TIME(0,min_l,$B79)*24))))*60</f>
        <v>29.750000000000014</v>
      </c>
      <c r="E79" s="302">
        <f>INT(15.0410844436191*(TIME(0,min_l,$B79)*24))</f>
        <v>13</v>
      </c>
      <c r="F79" s="303">
        <f>((15.04167*((TIME(0,min_l,$B79))*24))-(INT(15.04167*(TIME(0,min_l,$B79)*24))))*60</f>
        <v>31.99948549999995</v>
      </c>
      <c r="G79" s="302">
        <f>INT(14.31667*(TIME(0,min_l,$B79)*24))</f>
        <v>12</v>
      </c>
      <c r="H79" s="303">
        <f>((14.31667*((TIME(0,min_l,$B79))*24))-(INT(14.31667*(TIME(0,min_l,$B79)*24))))*60</f>
        <v>52.86156883333334</v>
      </c>
      <c r="I79" s="304">
        <v>17.70000000000002</v>
      </c>
      <c r="J79" s="305">
        <f>I79/60*min_l</f>
        <v>15.635000000000018</v>
      </c>
      <c r="K79" s="301">
        <v>59</v>
      </c>
      <c r="L79" s="302">
        <f>INT(15*(TIME(0,min_r,$K79)*24))</f>
        <v>13</v>
      </c>
      <c r="M79" s="303">
        <f>((15*((TIME(0,min_r,$K79))*24))-(INT(15*(TIME(0,min_r,$K79)*24))))*60</f>
        <v>44.750000000000014</v>
      </c>
      <c r="N79" s="302">
        <f>INT(15.0410844436191*(TIME(0,min_r,$K79)*24))</f>
        <v>13</v>
      </c>
      <c r="O79" s="303">
        <f>((15.04167*((TIME(0,min_r,$K79))*24))-(INT(15.04167*(TIME(0,min_r,$K79)*24))))*60</f>
        <v>47.041155500000045</v>
      </c>
      <c r="P79" s="302">
        <f>INT(14.31667*(TIME(0,min_r,$K79)*24))</f>
        <v>13</v>
      </c>
      <c r="Q79" s="303">
        <f>((14.31667*((TIME(0,min_r,$K79))*24))-(INT(14.31667*(TIME(0,min_r,$K79)*24))))*60</f>
        <v>7.178238833333346</v>
      </c>
      <c r="R79" s="304">
        <v>17.70000000000002</v>
      </c>
      <c r="S79" s="305">
        <f>R79/60*min_r</f>
        <v>15.930000000000017</v>
      </c>
      <c r="T79" s="299"/>
    </row>
    <row r="80" spans="1:20" ht="6" customHeight="1">
      <c r="A80" s="273"/>
      <c r="B80" s="274"/>
      <c r="C80" s="274"/>
      <c r="D80" s="275"/>
      <c r="E80" s="274"/>
      <c r="F80" s="275"/>
      <c r="G80" s="274"/>
      <c r="H80" s="275"/>
      <c r="I80" s="276"/>
      <c r="J80" s="276"/>
      <c r="K80" s="274"/>
      <c r="L80" s="274"/>
      <c r="M80" s="275"/>
      <c r="N80" s="274"/>
      <c r="O80" s="275"/>
      <c r="P80" s="274"/>
      <c r="Q80" s="275"/>
      <c r="R80" s="276"/>
      <c r="S80" s="276"/>
      <c r="T80" s="273"/>
    </row>
  </sheetData>
  <sheetProtection password="C661" sheet="1" objects="1" scenarios="1" selectLockedCells="1"/>
  <mergeCells count="21">
    <mergeCell ref="L6:M6"/>
    <mergeCell ref="B2:C2"/>
    <mergeCell ref="B7:B8"/>
    <mergeCell ref="K7:K8"/>
    <mergeCell ref="R5:R6"/>
    <mergeCell ref="B5:B6"/>
    <mergeCell ref="K5:K6"/>
    <mergeCell ref="I5:I6"/>
    <mergeCell ref="J5:J6"/>
    <mergeCell ref="L5:M5"/>
    <mergeCell ref="C6:D6"/>
    <mergeCell ref="S5:S6"/>
    <mergeCell ref="R2:S2"/>
    <mergeCell ref="C4:J4"/>
    <mergeCell ref="L4:S4"/>
    <mergeCell ref="C5:D5"/>
    <mergeCell ref="E5:F6"/>
    <mergeCell ref="G5:H6"/>
    <mergeCell ref="D2:Q3"/>
    <mergeCell ref="N5:O6"/>
    <mergeCell ref="P5:Q6"/>
  </mergeCells>
  <dataValidations count="1">
    <dataValidation type="whole" allowBlank="1" showInputMessage="1" showErrorMessage="1" sqref="B2:C3">
      <formula1>0</formula1>
      <formula2>59</formula2>
    </dataValidation>
  </dataValidations>
  <printOptions/>
  <pageMargins left="0.787401575" right="0.787401575" top="0.984251969" bottom="0.984251969" header="0.5" footer="0.5"/>
  <pageSetup orientation="portrait" paperSize="9" scale="59"/>
  <rowBreaks count="1" manualBreakCount="1">
    <brk id="79" max="255" man="1"/>
  </rowBreaks>
  <colBreaks count="1" manualBreakCount="1">
    <brk id="20" max="65535" man="1"/>
  </colBreak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W84"/>
  <sheetViews>
    <sheetView zoomScalePageLayoutView="0" workbookViewId="0" topLeftCell="A1">
      <selection activeCell="E22" sqref="E22"/>
    </sheetView>
  </sheetViews>
  <sheetFormatPr defaultColWidth="0" defaultRowHeight="15.75" zeroHeight="1"/>
  <cols>
    <col min="1" max="22" width="5.875" style="202" customWidth="1"/>
    <col min="23" max="23" width="1.875" style="202" customWidth="1"/>
    <col min="24" max="16384" width="10.875" style="202" hidden="1" customWidth="1"/>
  </cols>
  <sheetData>
    <row r="1" spans="1:23" ht="21">
      <c r="A1" s="918" t="s">
        <v>320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310"/>
    </row>
    <row r="2" spans="1:23" ht="18.75">
      <c r="A2" s="919" t="s">
        <v>321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310"/>
    </row>
    <row r="3" spans="1:23" ht="15.75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</row>
    <row r="4" spans="1:23" ht="15.75">
      <c r="A4" s="310" t="s">
        <v>394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1" t="s">
        <v>322</v>
      </c>
      <c r="W4" s="310"/>
    </row>
    <row r="5" spans="1:23" ht="15.75">
      <c r="A5" s="920" t="s">
        <v>323</v>
      </c>
      <c r="B5" s="921"/>
      <c r="C5" s="312" t="s">
        <v>238</v>
      </c>
      <c r="D5" s="920" t="s">
        <v>323</v>
      </c>
      <c r="E5" s="921"/>
      <c r="F5" s="312" t="s">
        <v>238</v>
      </c>
      <c r="G5" s="920" t="s">
        <v>323</v>
      </c>
      <c r="H5" s="921"/>
      <c r="I5" s="312" t="s">
        <v>238</v>
      </c>
      <c r="J5" s="920" t="s">
        <v>323</v>
      </c>
      <c r="K5" s="921"/>
      <c r="L5" s="312" t="s">
        <v>238</v>
      </c>
      <c r="M5" s="920" t="s">
        <v>323</v>
      </c>
      <c r="N5" s="921"/>
      <c r="O5" s="312" t="s">
        <v>238</v>
      </c>
      <c r="P5" s="920" t="s">
        <v>323</v>
      </c>
      <c r="Q5" s="921"/>
      <c r="R5" s="312" t="s">
        <v>238</v>
      </c>
      <c r="S5" s="313" t="s">
        <v>323</v>
      </c>
      <c r="T5" s="312" t="s">
        <v>238</v>
      </c>
      <c r="U5" s="313" t="s">
        <v>323</v>
      </c>
      <c r="V5" s="312" t="s">
        <v>238</v>
      </c>
      <c r="W5" s="310"/>
    </row>
    <row r="6" spans="1:23" ht="15.75">
      <c r="A6" s="314" t="s">
        <v>200</v>
      </c>
      <c r="B6" s="315" t="s">
        <v>201</v>
      </c>
      <c r="C6" s="316" t="s">
        <v>201</v>
      </c>
      <c r="D6" s="314" t="s">
        <v>200</v>
      </c>
      <c r="E6" s="315" t="s">
        <v>201</v>
      </c>
      <c r="F6" s="316" t="s">
        <v>201</v>
      </c>
      <c r="G6" s="314" t="s">
        <v>200</v>
      </c>
      <c r="H6" s="315" t="s">
        <v>201</v>
      </c>
      <c r="I6" s="316" t="s">
        <v>201</v>
      </c>
      <c r="J6" s="314" t="s">
        <v>200</v>
      </c>
      <c r="K6" s="315" t="s">
        <v>201</v>
      </c>
      <c r="L6" s="316" t="s">
        <v>201</v>
      </c>
      <c r="M6" s="314" t="s">
        <v>200</v>
      </c>
      <c r="N6" s="315" t="s">
        <v>201</v>
      </c>
      <c r="O6" s="316" t="s">
        <v>201</v>
      </c>
      <c r="P6" s="314" t="s">
        <v>200</v>
      </c>
      <c r="Q6" s="315" t="s">
        <v>201</v>
      </c>
      <c r="R6" s="316" t="s">
        <v>201</v>
      </c>
      <c r="S6" s="314" t="s">
        <v>200</v>
      </c>
      <c r="T6" s="316" t="s">
        <v>201</v>
      </c>
      <c r="U6" s="314" t="s">
        <v>200</v>
      </c>
      <c r="V6" s="317" t="s">
        <v>201</v>
      </c>
      <c r="W6" s="310"/>
    </row>
    <row r="7" spans="1:23" ht="15.75">
      <c r="A7" s="318">
        <v>0</v>
      </c>
      <c r="B7" s="319">
        <v>0</v>
      </c>
      <c r="C7" s="320">
        <f aca="true" t="shared" si="0" ref="C7:C12">1.002/TAN(RADIANS($A$7+(B7/60)+(7.31/($A$7+(B7/60)+4.4))))</f>
        <v>34.54648881074909</v>
      </c>
      <c r="D7" s="318">
        <v>2</v>
      </c>
      <c r="E7" s="319">
        <v>0</v>
      </c>
      <c r="F7" s="320">
        <f aca="true" t="shared" si="1" ref="F7:F12">1.002/TAN(RADIANS($D$7+(E7/60)+(7.31/($D$7+(E7/60)+4.4))))</f>
        <v>18.252508441958888</v>
      </c>
      <c r="G7" s="318">
        <v>4</v>
      </c>
      <c r="H7" s="319">
        <v>0</v>
      </c>
      <c r="I7" s="320">
        <f aca="true" t="shared" si="2" ref="I7:I12">1.002/TAN(RADIANS($G$7+(H7/60)+(7.31/($G$7+(H7/60)+4.4))))</f>
        <v>11.759596655315057</v>
      </c>
      <c r="J7" s="318">
        <v>6</v>
      </c>
      <c r="K7" s="319">
        <v>0</v>
      </c>
      <c r="L7" s="320">
        <f aca="true" t="shared" si="3" ref="L7:L12">1.002/TAN(RADIANS($J$7+(K7/60)+(7.31/($J$7+(K7/60)+4.4))))</f>
        <v>8.525915026824753</v>
      </c>
      <c r="M7" s="318">
        <v>9</v>
      </c>
      <c r="N7" s="319">
        <v>0</v>
      </c>
      <c r="O7" s="320">
        <f>1.002/TAN(RADIANS($M$7+(N7/60)+(7.31/($M$7+(N7/60)+4.4))))</f>
        <v>5.958629177961881</v>
      </c>
      <c r="P7" s="318">
        <v>14</v>
      </c>
      <c r="Q7" s="319">
        <v>0</v>
      </c>
      <c r="R7" s="320">
        <f>1.002/TAN(RADIANS($P$7+(Q7/60)+(7.31/($P$7+(Q7/60)+4.4))))</f>
        <v>3.9033008713906705</v>
      </c>
      <c r="S7" s="321">
        <v>20</v>
      </c>
      <c r="T7" s="322">
        <f>1.002/TAN(RADIANS(S7+(7.31/(S7+4.4))))</f>
        <v>2.7088175212837555</v>
      </c>
      <c r="U7" s="323">
        <v>34</v>
      </c>
      <c r="V7" s="322">
        <f>1.002/TAN(RADIANS(U7+(7.31/(U7+4.4))))</f>
        <v>1.4749317106858897</v>
      </c>
      <c r="W7" s="310"/>
    </row>
    <row r="8" spans="1:23" ht="15.75">
      <c r="A8" s="324"/>
      <c r="B8" s="325">
        <v>10</v>
      </c>
      <c r="C8" s="326">
        <f t="shared" si="0"/>
        <v>32.47271205600932</v>
      </c>
      <c r="D8" s="324"/>
      <c r="E8" s="325">
        <v>10</v>
      </c>
      <c r="F8" s="326">
        <f t="shared" si="1"/>
        <v>17.48476046772924</v>
      </c>
      <c r="G8" s="324"/>
      <c r="H8" s="325">
        <v>10</v>
      </c>
      <c r="I8" s="326">
        <f t="shared" si="2"/>
        <v>11.407109573091827</v>
      </c>
      <c r="J8" s="324"/>
      <c r="K8" s="325">
        <v>10</v>
      </c>
      <c r="L8" s="326">
        <f t="shared" si="3"/>
        <v>8.330713099234405</v>
      </c>
      <c r="M8" s="324"/>
      <c r="N8" s="325">
        <v>20</v>
      </c>
      <c r="O8" s="326">
        <f>1.002/TAN(RADIANS($M$7+(N8/60)+(7.31/($M$7+(N8/60)+4.4))))</f>
        <v>5.761614408596273</v>
      </c>
      <c r="P8" s="327"/>
      <c r="Q8" s="328">
        <v>30</v>
      </c>
      <c r="R8" s="329">
        <f>1.002/TAN(RADIANS($P$7+(Q8/60)+(7.31/($P$7+(Q8/60)+4.4))))</f>
        <v>3.7692945920227503</v>
      </c>
      <c r="S8" s="321">
        <v>21</v>
      </c>
      <c r="T8" s="322">
        <f aca="true" t="shared" si="4" ref="T8:T18">1.002/TAN(RADIANS(S8+(7.31/(S8+4.4))))</f>
        <v>2.571615541769037</v>
      </c>
      <c r="U8" s="323">
        <v>36</v>
      </c>
      <c r="V8" s="322">
        <f aca="true" t="shared" si="5" ref="V8:V18">1.002/TAN(RADIANS(U8+(7.31/(U8+4.4))))</f>
        <v>1.3700153834803337</v>
      </c>
      <c r="W8" s="310"/>
    </row>
    <row r="9" spans="1:23" ht="15.75">
      <c r="A9" s="324"/>
      <c r="B9" s="325">
        <v>20</v>
      </c>
      <c r="C9" s="326">
        <f t="shared" si="0"/>
        <v>30.563897806562593</v>
      </c>
      <c r="D9" s="324"/>
      <c r="E9" s="325">
        <v>20</v>
      </c>
      <c r="F9" s="326">
        <f t="shared" si="1"/>
        <v>16.771746169685578</v>
      </c>
      <c r="G9" s="324"/>
      <c r="H9" s="325">
        <v>20</v>
      </c>
      <c r="I9" s="326">
        <f t="shared" si="2"/>
        <v>11.073598974537319</v>
      </c>
      <c r="J9" s="324"/>
      <c r="K9" s="325">
        <v>20</v>
      </c>
      <c r="L9" s="326">
        <f t="shared" si="3"/>
        <v>8.143726567757295</v>
      </c>
      <c r="M9" s="327"/>
      <c r="N9" s="328">
        <v>40</v>
      </c>
      <c r="O9" s="329">
        <f>1.002/TAN(RADIANS($M$7+(N9/60)+(7.31/($M$7+(N9/60)+4.4))))</f>
        <v>5.576512687482039</v>
      </c>
      <c r="P9" s="318">
        <v>15</v>
      </c>
      <c r="Q9" s="319">
        <v>0</v>
      </c>
      <c r="R9" s="320">
        <f>1.002/TAN(RADIANS($P$9+(Q9/60)+(7.31/($P$9+(Q9/60)+4.4))))</f>
        <v>3.6434988479589303</v>
      </c>
      <c r="S9" s="321">
        <v>22</v>
      </c>
      <c r="T9" s="322">
        <f t="shared" si="4"/>
        <v>2.4459375980396407</v>
      </c>
      <c r="U9" s="323">
        <v>38</v>
      </c>
      <c r="V9" s="322">
        <f t="shared" si="5"/>
        <v>1.2745775143574685</v>
      </c>
      <c r="W9" s="310"/>
    </row>
    <row r="10" spans="1:23" ht="15.75">
      <c r="A10" s="324"/>
      <c r="B10" s="325">
        <v>30</v>
      </c>
      <c r="C10" s="326">
        <f t="shared" si="0"/>
        <v>28.811217590985997</v>
      </c>
      <c r="D10" s="324"/>
      <c r="E10" s="325">
        <v>30</v>
      </c>
      <c r="F10" s="326">
        <f t="shared" si="1"/>
        <v>16.10838057122891</v>
      </c>
      <c r="G10" s="324"/>
      <c r="H10" s="325">
        <v>30</v>
      </c>
      <c r="I10" s="326">
        <f t="shared" si="2"/>
        <v>10.75765070136135</v>
      </c>
      <c r="J10" s="324"/>
      <c r="K10" s="325">
        <v>30</v>
      </c>
      <c r="L10" s="326">
        <f t="shared" si="3"/>
        <v>7.964463893497094</v>
      </c>
      <c r="M10" s="318">
        <v>10</v>
      </c>
      <c r="N10" s="319">
        <v>0</v>
      </c>
      <c r="O10" s="320">
        <f>1.002/TAN(RADIANS($M$10+(N10/60)+(7.31/($M$10+(N10/60)+4.4))))</f>
        <v>5.402288478509611</v>
      </c>
      <c r="P10" s="327"/>
      <c r="Q10" s="328">
        <v>30</v>
      </c>
      <c r="R10" s="329">
        <f>1.002/TAN(RADIANS($P$9+(Q10/60)+(7.31/($P$9+(Q10/60)+4.4))))</f>
        <v>3.5251744492497763</v>
      </c>
      <c r="S10" s="321">
        <v>23</v>
      </c>
      <c r="T10" s="322">
        <f t="shared" si="4"/>
        <v>2.330335272989826</v>
      </c>
      <c r="U10" s="323">
        <v>40</v>
      </c>
      <c r="V10" s="322">
        <f t="shared" si="5"/>
        <v>1.1871922798528385</v>
      </c>
      <c r="W10" s="310"/>
    </row>
    <row r="11" spans="1:23" ht="15.75">
      <c r="A11" s="324"/>
      <c r="B11" s="325">
        <v>40</v>
      </c>
      <c r="C11" s="326">
        <f t="shared" si="0"/>
        <v>27.203763317340073</v>
      </c>
      <c r="D11" s="324"/>
      <c r="E11" s="325">
        <v>40</v>
      </c>
      <c r="F11" s="326">
        <f t="shared" si="1"/>
        <v>15.490121083043885</v>
      </c>
      <c r="G11" s="324"/>
      <c r="H11" s="325">
        <v>40</v>
      </c>
      <c r="I11" s="326">
        <f t="shared" si="2"/>
        <v>10.457980874704841</v>
      </c>
      <c r="J11" s="324"/>
      <c r="K11" s="325">
        <v>40</v>
      </c>
      <c r="L11" s="326">
        <f t="shared" si="3"/>
        <v>7.79247075501278</v>
      </c>
      <c r="M11" s="324"/>
      <c r="N11" s="325">
        <v>20</v>
      </c>
      <c r="O11" s="326">
        <f>1.002/TAN(RADIANS($M$10+(N11/60)+(7.31/($M$10+(N11/60)+4.4))))</f>
        <v>5.238020711551292</v>
      </c>
      <c r="P11" s="318">
        <v>16</v>
      </c>
      <c r="Q11" s="319">
        <v>0</v>
      </c>
      <c r="R11" s="320">
        <f>1.002/TAN(RADIANS($P$11+(Q11/60)+(7.31/($P$11+(Q11/60)+4.4))))</f>
        <v>3.4136673914075635</v>
      </c>
      <c r="S11" s="321">
        <v>24</v>
      </c>
      <c r="T11" s="322">
        <f t="shared" si="4"/>
        <v>2.223591158986263</v>
      </c>
      <c r="U11" s="323">
        <v>45</v>
      </c>
      <c r="V11" s="322">
        <f t="shared" si="5"/>
        <v>0.9968376637925751</v>
      </c>
      <c r="W11" s="310"/>
    </row>
    <row r="12" spans="1:23" ht="15.75">
      <c r="A12" s="327"/>
      <c r="B12" s="328">
        <v>50</v>
      </c>
      <c r="C12" s="329">
        <f t="shared" si="0"/>
        <v>25.72984362743404</v>
      </c>
      <c r="D12" s="327"/>
      <c r="E12" s="328">
        <v>50</v>
      </c>
      <c r="F12" s="329">
        <f t="shared" si="1"/>
        <v>14.912908172234847</v>
      </c>
      <c r="G12" s="327"/>
      <c r="H12" s="328">
        <v>50</v>
      </c>
      <c r="I12" s="329">
        <f t="shared" si="2"/>
        <v>10.173421966585531</v>
      </c>
      <c r="J12" s="327"/>
      <c r="K12" s="328">
        <v>50</v>
      </c>
      <c r="L12" s="329">
        <f t="shared" si="3"/>
        <v>7.627326693039051</v>
      </c>
      <c r="M12" s="327"/>
      <c r="N12" s="328">
        <v>40</v>
      </c>
      <c r="O12" s="329">
        <f>1.002/TAN(RADIANS($M$10+(N12/60)+(7.31/($M$10+(N12/60)+4.4))))</f>
        <v>5.082887638060239</v>
      </c>
      <c r="P12" s="327"/>
      <c r="Q12" s="328">
        <v>30</v>
      </c>
      <c r="R12" s="329">
        <f>1.002/TAN(RADIANS($P$11+(Q12/60)+(7.31/($P$11+(Q12/60)+4.4))))</f>
        <v>3.308397034346312</v>
      </c>
      <c r="S12" s="321">
        <v>25</v>
      </c>
      <c r="T12" s="322">
        <f t="shared" si="4"/>
        <v>2.1246747652120797</v>
      </c>
      <c r="U12" s="323">
        <v>50</v>
      </c>
      <c r="V12" s="322">
        <f t="shared" si="5"/>
        <v>0.8367811207149346</v>
      </c>
      <c r="W12" s="310"/>
    </row>
    <row r="13" spans="1:23" ht="15.75">
      <c r="A13" s="318">
        <v>1</v>
      </c>
      <c r="B13" s="319">
        <v>0</v>
      </c>
      <c r="C13" s="320">
        <f aca="true" t="shared" si="6" ref="C13:C18">1.002/TAN(RADIANS($A$13+(B13/60)+(7.31/($A$13+(B13/60)+4.4))))</f>
        <v>24.377780828334867</v>
      </c>
      <c r="D13" s="318">
        <v>3</v>
      </c>
      <c r="E13" s="319">
        <v>0</v>
      </c>
      <c r="F13" s="320">
        <f aca="true" t="shared" si="7" ref="F13:F18">1.002/TAN(RADIANS($D$13+(E13/60)+(7.31/($D$13+(E13/60)+4.4))))</f>
        <v>14.373111289224978</v>
      </c>
      <c r="G13" s="318">
        <v>5</v>
      </c>
      <c r="H13" s="319">
        <v>0</v>
      </c>
      <c r="I13" s="320">
        <f aca="true" t="shared" si="8" ref="I13:I18">1.002/TAN(RADIANS($G$13+(H13/60)+(7.31/($G$13+(H13/60)+4.4))))</f>
        <v>9.902910522650362</v>
      </c>
      <c r="J13" s="318">
        <v>7</v>
      </c>
      <c r="K13" s="319">
        <v>0</v>
      </c>
      <c r="L13" s="320">
        <f>1.002/TAN(RADIANS($J$13+(K13/60)+(7.31/($J$13+(K13/60)+4.4))))</f>
        <v>7.468642101471456</v>
      </c>
      <c r="M13" s="318">
        <v>11</v>
      </c>
      <c r="N13" s="319">
        <v>0</v>
      </c>
      <c r="O13" s="320">
        <f>1.002/TAN(RADIANS($M$13+(N13/60)+(7.31/($M$13+(N13/60)+4.4))))</f>
        <v>4.93615399537949</v>
      </c>
      <c r="P13" s="318">
        <v>17</v>
      </c>
      <c r="Q13" s="319">
        <v>0</v>
      </c>
      <c r="R13" s="320">
        <f>1.002/TAN(RADIANS($P$13+(Q13/60)+(7.31/($P$13+(Q13/60)+4.4))))</f>
        <v>3.2088461814481732</v>
      </c>
      <c r="S13" s="321">
        <v>26</v>
      </c>
      <c r="T13" s="322">
        <f t="shared" si="4"/>
        <v>2.0327081097269666</v>
      </c>
      <c r="U13" s="323">
        <v>55</v>
      </c>
      <c r="V13" s="322">
        <f t="shared" si="5"/>
        <v>0.6984054102094693</v>
      </c>
      <c r="W13" s="310"/>
    </row>
    <row r="14" spans="1:23" ht="15.75">
      <c r="A14" s="324"/>
      <c r="B14" s="325">
        <v>10</v>
      </c>
      <c r="C14" s="326">
        <f t="shared" si="6"/>
        <v>23.136376009098015</v>
      </c>
      <c r="D14" s="324"/>
      <c r="E14" s="325">
        <v>10</v>
      </c>
      <c r="F14" s="326">
        <f t="shared" si="7"/>
        <v>13.867480193245349</v>
      </c>
      <c r="G14" s="324"/>
      <c r="H14" s="325">
        <v>10</v>
      </c>
      <c r="I14" s="326">
        <f t="shared" si="8"/>
        <v>9.645476328032517</v>
      </c>
      <c r="J14" s="324"/>
      <c r="K14" s="325">
        <v>20</v>
      </c>
      <c r="L14" s="326">
        <f>1.002/TAN(RADIANS($J$13+(K14/60)+(7.31/($J$13+(K14/60)+4.4))))</f>
        <v>7.16923122763655</v>
      </c>
      <c r="M14" s="327"/>
      <c r="N14" s="328">
        <v>30</v>
      </c>
      <c r="O14" s="329">
        <f>1.002/TAN(RADIANS($M$13+(N14/60)+(7.31/($M$13+(N14/60)+4.4))))</f>
        <v>4.730377710753278</v>
      </c>
      <c r="P14" s="327"/>
      <c r="Q14" s="328">
        <v>30</v>
      </c>
      <c r="R14" s="329">
        <f>1.002/TAN(RADIANS($P$13+(Q14/60)+(7.31/($P$13+(Q14/60)+4.4))))</f>
        <v>3.1145527141720266</v>
      </c>
      <c r="S14" s="321">
        <v>27</v>
      </c>
      <c r="T14" s="322">
        <f t="shared" si="4"/>
        <v>1.9469386112248064</v>
      </c>
      <c r="U14" s="323">
        <v>60</v>
      </c>
      <c r="V14" s="322">
        <f t="shared" si="5"/>
        <v>0.5758612254618798</v>
      </c>
      <c r="W14" s="310"/>
    </row>
    <row r="15" spans="1:23" ht="15.75">
      <c r="A15" s="324"/>
      <c r="B15" s="325">
        <v>20</v>
      </c>
      <c r="C15" s="326">
        <f t="shared" si="6"/>
        <v>21.995158787509084</v>
      </c>
      <c r="D15" s="324"/>
      <c r="E15" s="325">
        <v>20</v>
      </c>
      <c r="F15" s="326">
        <f t="shared" si="7"/>
        <v>13.393101508196038</v>
      </c>
      <c r="G15" s="324"/>
      <c r="H15" s="325">
        <v>20</v>
      </c>
      <c r="I15" s="326">
        <f t="shared" si="8"/>
        <v>9.400232834580516</v>
      </c>
      <c r="J15" s="324"/>
      <c r="K15" s="325">
        <v>40</v>
      </c>
      <c r="L15" s="326">
        <f>1.002/TAN(RADIANS($J$13+(K15/60)+(7.31/($J$13+(K15/60)+4.4))))</f>
        <v>6.8916422055215625</v>
      </c>
      <c r="M15" s="318">
        <v>12</v>
      </c>
      <c r="N15" s="319">
        <v>0</v>
      </c>
      <c r="O15" s="320">
        <f>1.002/TAN(RADIANS($M$15+(N15/60)+(7.31/($M$15+(N15/60)+4.4))))</f>
        <v>4.5400758399021</v>
      </c>
      <c r="P15" s="318">
        <v>18</v>
      </c>
      <c r="Q15" s="319">
        <v>0</v>
      </c>
      <c r="R15" s="320">
        <f>1.002/TAN(RADIANS($P$15+(Q15/60)+(7.31/($P$15+(Q15/60)+4.4))))</f>
        <v>3.0251025067871806</v>
      </c>
      <c r="S15" s="321">
        <v>28</v>
      </c>
      <c r="T15" s="322">
        <f t="shared" si="4"/>
        <v>1.8667175417337127</v>
      </c>
      <c r="U15" s="323">
        <v>65</v>
      </c>
      <c r="V15" s="322">
        <f t="shared" si="5"/>
        <v>0.4649995930378023</v>
      </c>
      <c r="W15" s="310"/>
    </row>
    <row r="16" spans="1:23" ht="15.75">
      <c r="A16" s="324"/>
      <c r="B16" s="325">
        <v>30</v>
      </c>
      <c r="C16" s="326">
        <f t="shared" si="6"/>
        <v>20.944500576452267</v>
      </c>
      <c r="D16" s="324"/>
      <c r="E16" s="325">
        <v>30</v>
      </c>
      <c r="F16" s="326">
        <f t="shared" si="7"/>
        <v>12.947360172514625</v>
      </c>
      <c r="G16" s="324"/>
      <c r="H16" s="325">
        <v>30</v>
      </c>
      <c r="I16" s="326">
        <f t="shared" si="8"/>
        <v>9.166368691145811</v>
      </c>
      <c r="J16" s="318">
        <v>8</v>
      </c>
      <c r="K16" s="319">
        <v>0</v>
      </c>
      <c r="L16" s="320">
        <f>1.002/TAN(RADIANS($J$16+(K16/60)+(7.31/($J$16+(K16/60)+4.4))))</f>
        <v>6.633625521358355</v>
      </c>
      <c r="M16" s="327"/>
      <c r="N16" s="328">
        <v>30</v>
      </c>
      <c r="O16" s="329">
        <f>1.002/TAN(RADIANS($M$15+(N16/60)+(7.31/($M$15+(N16/60)+4.4))))</f>
        <v>4.363570738800748</v>
      </c>
      <c r="P16" s="327"/>
      <c r="Q16" s="328">
        <v>30</v>
      </c>
      <c r="R16" s="329">
        <f>1.002/TAN(RADIANS($P$15+(Q16/60)+(7.31/($P$15+(Q16/60)+4.4))))</f>
        <v>2.9401233998353677</v>
      </c>
      <c r="S16" s="321">
        <v>29</v>
      </c>
      <c r="T16" s="322">
        <f t="shared" si="4"/>
        <v>1.7914827577864705</v>
      </c>
      <c r="U16" s="323">
        <v>70</v>
      </c>
      <c r="V16" s="322">
        <f t="shared" si="5"/>
        <v>0.36275349833569526</v>
      </c>
      <c r="W16" s="310"/>
    </row>
    <row r="17" spans="1:23" ht="15.75">
      <c r="A17" s="324"/>
      <c r="B17" s="325">
        <v>40</v>
      </c>
      <c r="C17" s="326">
        <f t="shared" si="6"/>
        <v>19.975643803656904</v>
      </c>
      <c r="D17" s="324"/>
      <c r="E17" s="325">
        <v>40</v>
      </c>
      <c r="F17" s="326">
        <f t="shared" si="7"/>
        <v>12.527905366748694</v>
      </c>
      <c r="G17" s="324"/>
      <c r="H17" s="325">
        <v>40</v>
      </c>
      <c r="I17" s="326">
        <f t="shared" si="8"/>
        <v>8.943140239184682</v>
      </c>
      <c r="J17" s="324"/>
      <c r="K17" s="325">
        <v>20</v>
      </c>
      <c r="L17" s="326">
        <f>1.002/TAN(RADIANS($J$16+(K17/60)+(7.31/($J$16+(K17/60)+4.4))))</f>
        <v>6.393223396066021</v>
      </c>
      <c r="M17" s="318">
        <v>13</v>
      </c>
      <c r="N17" s="319">
        <v>0</v>
      </c>
      <c r="O17" s="320">
        <f>1.002/TAN(RADIANS($M$17+(N17/60)+(7.31/($M$17+(N17/60)+4.4))))</f>
        <v>4.199415535801244</v>
      </c>
      <c r="P17" s="318">
        <v>19</v>
      </c>
      <c r="Q17" s="319">
        <v>0</v>
      </c>
      <c r="R17" s="320">
        <f>1.002/TAN(RADIANS($P$17+(Q17/60)+(7.31/($P$17+(Q17/60)+4.4))))</f>
        <v>2.8592800533758007</v>
      </c>
      <c r="S17" s="321">
        <v>30</v>
      </c>
      <c r="T17" s="322">
        <f t="shared" si="4"/>
        <v>1.7207447538202127</v>
      </c>
      <c r="U17" s="323">
        <v>80</v>
      </c>
      <c r="V17" s="322">
        <f t="shared" si="5"/>
        <v>0.175118279561547</v>
      </c>
      <c r="W17" s="310"/>
    </row>
    <row r="18" spans="1:23" ht="15.75">
      <c r="A18" s="327"/>
      <c r="B18" s="328">
        <v>50</v>
      </c>
      <c r="C18" s="329">
        <f t="shared" si="6"/>
        <v>19.080681373365476</v>
      </c>
      <c r="D18" s="327"/>
      <c r="E18" s="328">
        <v>50</v>
      </c>
      <c r="F18" s="329">
        <f t="shared" si="7"/>
        <v>12.132620476606222</v>
      </c>
      <c r="G18" s="327"/>
      <c r="H18" s="328">
        <v>50</v>
      </c>
      <c r="I18" s="329">
        <f t="shared" si="8"/>
        <v>8.72986485390364</v>
      </c>
      <c r="J18" s="327"/>
      <c r="K18" s="328">
        <v>40</v>
      </c>
      <c r="L18" s="329">
        <f>1.002/TAN(RADIANS($J$16+(K18/60)+(7.31/($J$16+(K18/60)+4.4))))</f>
        <v>6.168724939959514</v>
      </c>
      <c r="M18" s="327"/>
      <c r="N18" s="328">
        <v>30</v>
      </c>
      <c r="O18" s="329">
        <f>1.002/TAN(RADIANS($M$17+(N18/60)+(7.31/($M$17+(N18/60)+4.4))))</f>
        <v>4.046356216380157</v>
      </c>
      <c r="P18" s="327"/>
      <c r="Q18" s="328">
        <v>30</v>
      </c>
      <c r="R18" s="329">
        <f>1.002/TAN(RADIANS($P$17+(Q18/60)+(7.31/($P$17+(Q18/60)+4.4))))</f>
        <v>2.7822695346255344</v>
      </c>
      <c r="S18" s="321">
        <v>32</v>
      </c>
      <c r="T18" s="322">
        <f t="shared" si="4"/>
        <v>1.5910982397578344</v>
      </c>
      <c r="U18" s="323">
        <v>90</v>
      </c>
      <c r="V18" s="322">
        <f t="shared" si="5"/>
        <v>-0.0013542247171038076</v>
      </c>
      <c r="W18" s="310"/>
    </row>
    <row r="19" spans="1:23" ht="15.75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</row>
    <row r="20" spans="1:23" ht="15" customHeight="1">
      <c r="A20" s="898" t="s">
        <v>324</v>
      </c>
      <c r="B20" s="899"/>
      <c r="C20" s="900"/>
      <c r="D20" s="907" t="s">
        <v>323</v>
      </c>
      <c r="E20" s="908"/>
      <c r="F20" s="330" t="s">
        <v>238</v>
      </c>
      <c r="G20" s="310"/>
      <c r="H20" s="909" t="s">
        <v>325</v>
      </c>
      <c r="I20" s="910"/>
      <c r="J20" s="331" t="s">
        <v>205</v>
      </c>
      <c r="K20" s="330" t="s">
        <v>236</v>
      </c>
      <c r="L20" s="310"/>
      <c r="M20" s="915" t="s">
        <v>326</v>
      </c>
      <c r="N20" s="915"/>
      <c r="O20" s="915"/>
      <c r="P20" s="331" t="s">
        <v>260</v>
      </c>
      <c r="Q20" s="331" t="s">
        <v>205</v>
      </c>
      <c r="R20" s="330" t="s">
        <v>236</v>
      </c>
      <c r="S20" s="310"/>
      <c r="T20" s="916" t="s">
        <v>327</v>
      </c>
      <c r="U20" s="916"/>
      <c r="V20" s="916"/>
      <c r="W20" s="310"/>
    </row>
    <row r="21" spans="1:23" ht="15.75">
      <c r="A21" s="901"/>
      <c r="B21" s="902"/>
      <c r="C21" s="903"/>
      <c r="D21" s="332" t="s">
        <v>200</v>
      </c>
      <c r="E21" s="333" t="s">
        <v>201</v>
      </c>
      <c r="F21" s="334" t="s">
        <v>201</v>
      </c>
      <c r="G21" s="310"/>
      <c r="H21" s="911"/>
      <c r="I21" s="912"/>
      <c r="J21" s="332" t="s">
        <v>206</v>
      </c>
      <c r="K21" s="334" t="s">
        <v>201</v>
      </c>
      <c r="L21" s="310"/>
      <c r="M21" s="915"/>
      <c r="N21" s="915"/>
      <c r="O21" s="915"/>
      <c r="P21" s="332" t="s">
        <v>328</v>
      </c>
      <c r="Q21" s="332" t="s">
        <v>206</v>
      </c>
      <c r="R21" s="334" t="s">
        <v>201</v>
      </c>
      <c r="S21" s="310"/>
      <c r="T21" s="916"/>
      <c r="U21" s="916"/>
      <c r="V21" s="916"/>
      <c r="W21" s="310"/>
    </row>
    <row r="22" spans="1:23" ht="15.75">
      <c r="A22" s="904"/>
      <c r="B22" s="905"/>
      <c r="C22" s="906"/>
      <c r="D22" s="351">
        <v>4</v>
      </c>
      <c r="E22" s="352">
        <v>56.4</v>
      </c>
      <c r="F22" s="335">
        <f>IF(D22="","",1.002/TAN(RADIANS($D$22+(E22/60)+(7.31/($D$22+(E22/60)+4.4)))))</f>
        <v>9.998739357827185</v>
      </c>
      <c r="G22" s="310"/>
      <c r="H22" s="913"/>
      <c r="I22" s="914"/>
      <c r="J22" s="351">
        <v>38</v>
      </c>
      <c r="K22" s="336">
        <f>IF(J22="","",1.758*SQRT(J22))</f>
        <v>10.837039817219459</v>
      </c>
      <c r="L22" s="310"/>
      <c r="M22" s="915"/>
      <c r="N22" s="915"/>
      <c r="O22" s="915"/>
      <c r="P22" s="351">
        <v>3</v>
      </c>
      <c r="Q22" s="351">
        <v>6</v>
      </c>
      <c r="R22" s="336">
        <f>IF(OR(P22="",Q22=""),"",1.855*(Q22/P22)+0.42*P22)</f>
        <v>4.97</v>
      </c>
      <c r="S22" s="310"/>
      <c r="T22" s="916"/>
      <c r="U22" s="916"/>
      <c r="V22" s="916"/>
      <c r="W22" s="310"/>
    </row>
    <row r="23" spans="1:23" ht="15.75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</row>
    <row r="24" spans="1:23" ht="15.75">
      <c r="A24" s="310" t="s">
        <v>329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1" t="s">
        <v>330</v>
      </c>
      <c r="S24" s="310"/>
      <c r="T24" s="310"/>
      <c r="U24" s="310"/>
      <c r="V24" s="310"/>
      <c r="W24" s="310"/>
    </row>
    <row r="25" spans="1:23" ht="15.75">
      <c r="A25" s="917" t="s">
        <v>331</v>
      </c>
      <c r="B25" s="917"/>
      <c r="C25" s="917"/>
      <c r="D25" s="917"/>
      <c r="E25" s="917"/>
      <c r="F25" s="917"/>
      <c r="G25" s="917"/>
      <c r="H25" s="917"/>
      <c r="I25" s="310"/>
      <c r="J25" s="917" t="s">
        <v>332</v>
      </c>
      <c r="K25" s="917"/>
      <c r="L25" s="917"/>
      <c r="M25" s="917"/>
      <c r="N25" s="917"/>
      <c r="O25" s="917"/>
      <c r="P25" s="917"/>
      <c r="Q25" s="917"/>
      <c r="R25" s="917"/>
      <c r="S25" s="310"/>
      <c r="T25" s="310"/>
      <c r="U25" s="310"/>
      <c r="V25" s="310"/>
      <c r="W25" s="310"/>
    </row>
    <row r="26" spans="1:23" ht="15.75">
      <c r="A26" s="312" t="s">
        <v>205</v>
      </c>
      <c r="B26" s="312" t="s">
        <v>333</v>
      </c>
      <c r="C26" s="312" t="s">
        <v>205</v>
      </c>
      <c r="D26" s="312" t="s">
        <v>333</v>
      </c>
      <c r="E26" s="312" t="s">
        <v>205</v>
      </c>
      <c r="F26" s="312" t="s">
        <v>333</v>
      </c>
      <c r="G26" s="312" t="s">
        <v>205</v>
      </c>
      <c r="H26" s="312" t="s">
        <v>333</v>
      </c>
      <c r="I26" s="310"/>
      <c r="J26" s="312" t="s">
        <v>334</v>
      </c>
      <c r="K26" s="337">
        <v>2</v>
      </c>
      <c r="L26" s="337">
        <v>4</v>
      </c>
      <c r="M26" s="337">
        <v>6</v>
      </c>
      <c r="N26" s="337">
        <v>8</v>
      </c>
      <c r="O26" s="337">
        <v>10</v>
      </c>
      <c r="P26" s="337">
        <v>12</v>
      </c>
      <c r="Q26" s="337">
        <v>14</v>
      </c>
      <c r="R26" s="337">
        <v>15</v>
      </c>
      <c r="S26" s="310"/>
      <c r="T26" s="310"/>
      <c r="U26" s="310"/>
      <c r="V26" s="310"/>
      <c r="W26" s="310"/>
    </row>
    <row r="27" spans="1:23" ht="15.75">
      <c r="A27" s="321">
        <v>0.5</v>
      </c>
      <c r="B27" s="322">
        <f>1.758*SQRT(A27)</f>
        <v>1.2430937213259505</v>
      </c>
      <c r="C27" s="321">
        <v>7</v>
      </c>
      <c r="D27" s="322">
        <f>1.758*SQRT(C27)</f>
        <v>4.651230804851551</v>
      </c>
      <c r="E27" s="321">
        <v>13.5</v>
      </c>
      <c r="F27" s="322">
        <f>1.758*SQRT(E27)</f>
        <v>6.459304451719241</v>
      </c>
      <c r="G27" s="321">
        <v>20</v>
      </c>
      <c r="H27" s="322">
        <f>1.758*SQRT(G27)</f>
        <v>7.862015008889261</v>
      </c>
      <c r="I27" s="310"/>
      <c r="J27" s="338">
        <v>0.25</v>
      </c>
      <c r="K27" s="323">
        <f>1.855*(K$26/$J27)+0.42*$J27</f>
        <v>14.945</v>
      </c>
      <c r="L27" s="323">
        <f aca="true" t="shared" si="9" ref="L27:R39">1.855*(L$26/$J27)+0.42*$J27</f>
        <v>29.785</v>
      </c>
      <c r="M27" s="323">
        <f t="shared" si="9"/>
        <v>44.62499999999999</v>
      </c>
      <c r="N27" s="323">
        <f t="shared" si="9"/>
        <v>59.464999999999996</v>
      </c>
      <c r="O27" s="323">
        <f t="shared" si="9"/>
        <v>74.305</v>
      </c>
      <c r="P27" s="323">
        <f t="shared" si="9"/>
        <v>89.145</v>
      </c>
      <c r="Q27" s="323">
        <f t="shared" si="9"/>
        <v>103.985</v>
      </c>
      <c r="R27" s="323">
        <f t="shared" si="9"/>
        <v>111.405</v>
      </c>
      <c r="S27" s="310"/>
      <c r="T27" s="310"/>
      <c r="U27" s="310"/>
      <c r="V27" s="310"/>
      <c r="W27" s="310"/>
    </row>
    <row r="28" spans="1:23" ht="15.75">
      <c r="A28" s="321">
        <v>1</v>
      </c>
      <c r="B28" s="322">
        <f aca="true" t="shared" si="10" ref="B28:D39">1.758*SQRT(A28)</f>
        <v>1.758</v>
      </c>
      <c r="C28" s="321">
        <v>7.5</v>
      </c>
      <c r="D28" s="322">
        <f t="shared" si="10"/>
        <v>4.81448128047041</v>
      </c>
      <c r="E28" s="321">
        <v>14</v>
      </c>
      <c r="F28" s="322">
        <f aca="true" t="shared" si="11" ref="F28:F39">1.758*SQRT(E28)</f>
        <v>6.577833685948589</v>
      </c>
      <c r="G28" s="321">
        <v>21</v>
      </c>
      <c r="H28" s="322">
        <f aca="true" t="shared" si="12" ref="H28:H39">1.758*SQRT(G28)</f>
        <v>8.056168071732367</v>
      </c>
      <c r="I28" s="310"/>
      <c r="J28" s="339">
        <v>0.5</v>
      </c>
      <c r="K28" s="323">
        <f aca="true" t="shared" si="13" ref="K28:K39">1.855*(K$26/$J28)+0.42*$J28</f>
        <v>7.63</v>
      </c>
      <c r="L28" s="323">
        <f t="shared" si="9"/>
        <v>15.05</v>
      </c>
      <c r="M28" s="323">
        <f t="shared" si="9"/>
        <v>22.47</v>
      </c>
      <c r="N28" s="323">
        <f t="shared" si="9"/>
        <v>29.89</v>
      </c>
      <c r="O28" s="323">
        <f t="shared" si="9"/>
        <v>37.31</v>
      </c>
      <c r="P28" s="323">
        <f t="shared" si="9"/>
        <v>44.73</v>
      </c>
      <c r="Q28" s="323">
        <f t="shared" si="9"/>
        <v>52.15</v>
      </c>
      <c r="R28" s="323">
        <f t="shared" si="9"/>
        <v>55.86</v>
      </c>
      <c r="S28" s="310"/>
      <c r="T28" s="310"/>
      <c r="U28" s="310"/>
      <c r="V28" s="310"/>
      <c r="W28" s="310"/>
    </row>
    <row r="29" spans="1:23" ht="15.75">
      <c r="A29" s="321">
        <v>1.5</v>
      </c>
      <c r="B29" s="322">
        <f t="shared" si="10"/>
        <v>2.1531014839064135</v>
      </c>
      <c r="C29" s="321">
        <v>8</v>
      </c>
      <c r="D29" s="322">
        <f t="shared" si="10"/>
        <v>4.972374885303802</v>
      </c>
      <c r="E29" s="321">
        <v>14.5</v>
      </c>
      <c r="F29" s="322">
        <f t="shared" si="11"/>
        <v>6.694264560054376</v>
      </c>
      <c r="G29" s="321">
        <v>22</v>
      </c>
      <c r="H29" s="322">
        <f t="shared" si="12"/>
        <v>8.24575090576959</v>
      </c>
      <c r="I29" s="310"/>
      <c r="J29" s="338">
        <v>0.75</v>
      </c>
      <c r="K29" s="323">
        <f t="shared" si="13"/>
        <v>5.261666666666667</v>
      </c>
      <c r="L29" s="323">
        <f t="shared" si="9"/>
        <v>10.208333333333332</v>
      </c>
      <c r="M29" s="323">
        <f t="shared" si="9"/>
        <v>15.155</v>
      </c>
      <c r="N29" s="323">
        <f t="shared" si="9"/>
        <v>20.101666666666667</v>
      </c>
      <c r="O29" s="323">
        <f t="shared" si="9"/>
        <v>25.048333333333336</v>
      </c>
      <c r="P29" s="323">
        <f t="shared" si="9"/>
        <v>29.995</v>
      </c>
      <c r="Q29" s="323">
        <f t="shared" si="9"/>
        <v>34.94166666666666</v>
      </c>
      <c r="R29" s="323">
        <f t="shared" si="9"/>
        <v>37.415</v>
      </c>
      <c r="S29" s="310"/>
      <c r="T29" s="310"/>
      <c r="U29" s="310"/>
      <c r="V29" s="310"/>
      <c r="W29" s="310"/>
    </row>
    <row r="30" spans="1:23" ht="15.75">
      <c r="A30" s="321">
        <v>2</v>
      </c>
      <c r="B30" s="322">
        <f t="shared" si="10"/>
        <v>2.486187442651901</v>
      </c>
      <c r="C30" s="321">
        <v>8.5</v>
      </c>
      <c r="D30" s="322">
        <f t="shared" si="10"/>
        <v>5.125406715569019</v>
      </c>
      <c r="E30" s="321">
        <v>15</v>
      </c>
      <c r="F30" s="322">
        <f t="shared" si="11"/>
        <v>6.80870472263264</v>
      </c>
      <c r="G30" s="321">
        <v>23</v>
      </c>
      <c r="H30" s="322">
        <f t="shared" si="12"/>
        <v>8.43107181798376</v>
      </c>
      <c r="I30" s="310"/>
      <c r="J30" s="340">
        <v>1</v>
      </c>
      <c r="K30" s="323">
        <f t="shared" si="13"/>
        <v>4.13</v>
      </c>
      <c r="L30" s="323">
        <f t="shared" si="9"/>
        <v>7.84</v>
      </c>
      <c r="M30" s="323">
        <f t="shared" si="9"/>
        <v>11.549999999999999</v>
      </c>
      <c r="N30" s="323">
        <f t="shared" si="9"/>
        <v>15.26</v>
      </c>
      <c r="O30" s="323">
        <f t="shared" si="9"/>
        <v>18.970000000000002</v>
      </c>
      <c r="P30" s="323">
        <f t="shared" si="9"/>
        <v>22.68</v>
      </c>
      <c r="Q30" s="323">
        <f t="shared" si="9"/>
        <v>26.39</v>
      </c>
      <c r="R30" s="323">
        <f t="shared" si="9"/>
        <v>28.245</v>
      </c>
      <c r="S30" s="310"/>
      <c r="T30" s="310"/>
      <c r="U30" s="310"/>
      <c r="V30" s="310"/>
      <c r="W30" s="310"/>
    </row>
    <row r="31" spans="1:23" ht="15.75">
      <c r="A31" s="321">
        <v>2.5</v>
      </c>
      <c r="B31" s="322">
        <f t="shared" si="10"/>
        <v>2.7796420632880054</v>
      </c>
      <c r="C31" s="321">
        <v>9</v>
      </c>
      <c r="D31" s="322">
        <f t="shared" si="10"/>
        <v>5.274</v>
      </c>
      <c r="E31" s="321">
        <v>15.5</v>
      </c>
      <c r="F31" s="322">
        <f t="shared" si="11"/>
        <v>6.921252921256382</v>
      </c>
      <c r="G31" s="321">
        <v>24</v>
      </c>
      <c r="H31" s="322">
        <f t="shared" si="12"/>
        <v>8.612405935625654</v>
      </c>
      <c r="I31" s="310"/>
      <c r="J31" s="338">
        <v>1.25</v>
      </c>
      <c r="K31" s="323">
        <f t="shared" si="13"/>
        <v>3.493</v>
      </c>
      <c r="L31" s="323">
        <f t="shared" si="9"/>
        <v>6.461</v>
      </c>
      <c r="M31" s="323">
        <f t="shared" si="9"/>
        <v>9.429</v>
      </c>
      <c r="N31" s="323">
        <f t="shared" si="9"/>
        <v>12.397</v>
      </c>
      <c r="O31" s="323">
        <f t="shared" si="9"/>
        <v>15.365</v>
      </c>
      <c r="P31" s="323">
        <f t="shared" si="9"/>
        <v>18.333</v>
      </c>
      <c r="Q31" s="323">
        <f t="shared" si="9"/>
        <v>21.301</v>
      </c>
      <c r="R31" s="323">
        <f t="shared" si="9"/>
        <v>22.784999999999997</v>
      </c>
      <c r="S31" s="310"/>
      <c r="T31" s="310"/>
      <c r="U31" s="310"/>
      <c r="V31" s="310"/>
      <c r="W31" s="310"/>
    </row>
    <row r="32" spans="1:23" ht="15.75">
      <c r="A32" s="321">
        <v>3</v>
      </c>
      <c r="B32" s="322">
        <f t="shared" si="10"/>
        <v>3.0449453197060863</v>
      </c>
      <c r="C32" s="321">
        <v>9.5</v>
      </c>
      <c r="D32" s="322">
        <f t="shared" si="10"/>
        <v>5.4185199086097295</v>
      </c>
      <c r="E32" s="321">
        <v>16</v>
      </c>
      <c r="F32" s="322">
        <f t="shared" si="11"/>
        <v>7.032</v>
      </c>
      <c r="G32" s="321">
        <v>25</v>
      </c>
      <c r="H32" s="322">
        <f t="shared" si="12"/>
        <v>8.79</v>
      </c>
      <c r="I32" s="310"/>
      <c r="J32" s="339">
        <v>1.5</v>
      </c>
      <c r="K32" s="323">
        <f t="shared" si="13"/>
        <v>3.103333333333333</v>
      </c>
      <c r="L32" s="323">
        <f t="shared" si="9"/>
        <v>5.576666666666666</v>
      </c>
      <c r="M32" s="323">
        <f t="shared" si="9"/>
        <v>8.05</v>
      </c>
      <c r="N32" s="323">
        <f t="shared" si="9"/>
        <v>10.523333333333333</v>
      </c>
      <c r="O32" s="323">
        <f t="shared" si="9"/>
        <v>12.996666666666668</v>
      </c>
      <c r="P32" s="323">
        <f t="shared" si="9"/>
        <v>15.47</v>
      </c>
      <c r="Q32" s="323">
        <f t="shared" si="9"/>
        <v>17.94333333333333</v>
      </c>
      <c r="R32" s="323">
        <f t="shared" si="9"/>
        <v>19.18</v>
      </c>
      <c r="S32" s="310"/>
      <c r="T32" s="310"/>
      <c r="U32" s="310"/>
      <c r="V32" s="310"/>
      <c r="W32" s="310"/>
    </row>
    <row r="33" spans="1:23" ht="15.75">
      <c r="A33" s="321">
        <v>3.5</v>
      </c>
      <c r="B33" s="322">
        <f t="shared" si="10"/>
        <v>3.2889168429742943</v>
      </c>
      <c r="C33" s="321">
        <v>10</v>
      </c>
      <c r="D33" s="322">
        <f t="shared" si="10"/>
        <v>5.559284126576011</v>
      </c>
      <c r="E33" s="321">
        <v>16.5</v>
      </c>
      <c r="F33" s="322">
        <f t="shared" si="11"/>
        <v>7.1410297576750095</v>
      </c>
      <c r="G33" s="321">
        <v>26</v>
      </c>
      <c r="H33" s="322">
        <f t="shared" si="12"/>
        <v>8.964076304896116</v>
      </c>
      <c r="I33" s="310"/>
      <c r="J33" s="340">
        <v>2</v>
      </c>
      <c r="K33" s="323">
        <f t="shared" si="13"/>
        <v>2.695</v>
      </c>
      <c r="L33" s="323">
        <f t="shared" si="9"/>
        <v>4.55</v>
      </c>
      <c r="M33" s="323">
        <f t="shared" si="9"/>
        <v>6.404999999999999</v>
      </c>
      <c r="N33" s="323">
        <f t="shared" si="9"/>
        <v>8.26</v>
      </c>
      <c r="O33" s="323">
        <f t="shared" si="9"/>
        <v>10.115</v>
      </c>
      <c r="P33" s="323">
        <f t="shared" si="9"/>
        <v>11.969999999999999</v>
      </c>
      <c r="Q33" s="323">
        <f t="shared" si="9"/>
        <v>13.825</v>
      </c>
      <c r="R33" s="323">
        <f t="shared" si="9"/>
        <v>14.7525</v>
      </c>
      <c r="S33" s="310"/>
      <c r="T33" s="310"/>
      <c r="U33" s="310"/>
      <c r="V33" s="310"/>
      <c r="W33" s="310"/>
    </row>
    <row r="34" spans="1:23" ht="15.75">
      <c r="A34" s="321">
        <v>4</v>
      </c>
      <c r="B34" s="322">
        <f t="shared" si="10"/>
        <v>3.516</v>
      </c>
      <c r="C34" s="321">
        <v>10.5</v>
      </c>
      <c r="D34" s="322">
        <f t="shared" si="10"/>
        <v>5.696571073900509</v>
      </c>
      <c r="E34" s="321">
        <v>17</v>
      </c>
      <c r="F34" s="322">
        <f t="shared" si="11"/>
        <v>7.248419689835847</v>
      </c>
      <c r="G34" s="321">
        <v>27</v>
      </c>
      <c r="H34" s="322">
        <f t="shared" si="12"/>
        <v>9.13483595911826</v>
      </c>
      <c r="I34" s="310"/>
      <c r="J34" s="339">
        <v>2.5</v>
      </c>
      <c r="K34" s="323">
        <f t="shared" si="13"/>
        <v>2.534</v>
      </c>
      <c r="L34" s="323">
        <f t="shared" si="9"/>
        <v>4.018</v>
      </c>
      <c r="M34" s="323">
        <f t="shared" si="9"/>
        <v>5.502</v>
      </c>
      <c r="N34" s="323">
        <f t="shared" si="9"/>
        <v>6.986</v>
      </c>
      <c r="O34" s="323">
        <f t="shared" si="9"/>
        <v>8.47</v>
      </c>
      <c r="P34" s="323">
        <f t="shared" si="9"/>
        <v>9.954</v>
      </c>
      <c r="Q34" s="323">
        <f t="shared" si="9"/>
        <v>11.438</v>
      </c>
      <c r="R34" s="323">
        <f t="shared" si="9"/>
        <v>12.18</v>
      </c>
      <c r="S34" s="310"/>
      <c r="T34" s="310"/>
      <c r="U34" s="310"/>
      <c r="V34" s="310"/>
      <c r="W34" s="310"/>
    </row>
    <row r="35" spans="1:23" ht="15.75">
      <c r="A35" s="321">
        <v>4.5</v>
      </c>
      <c r="B35" s="322">
        <f t="shared" si="10"/>
        <v>3.729281163977851</v>
      </c>
      <c r="C35" s="321">
        <v>11</v>
      </c>
      <c r="D35" s="322">
        <f t="shared" si="10"/>
        <v>5.830626381444793</v>
      </c>
      <c r="E35" s="321">
        <v>17.5</v>
      </c>
      <c r="F35" s="322">
        <f t="shared" si="11"/>
        <v>7.354241633234524</v>
      </c>
      <c r="G35" s="321">
        <v>28</v>
      </c>
      <c r="H35" s="322">
        <f t="shared" si="12"/>
        <v>9.302461609703101</v>
      </c>
      <c r="I35" s="310"/>
      <c r="J35" s="340">
        <v>3</v>
      </c>
      <c r="K35" s="323">
        <f t="shared" si="13"/>
        <v>2.4966666666666666</v>
      </c>
      <c r="L35" s="323">
        <f t="shared" si="9"/>
        <v>3.7333333333333334</v>
      </c>
      <c r="M35" s="323">
        <f t="shared" si="9"/>
        <v>4.97</v>
      </c>
      <c r="N35" s="323">
        <f t="shared" si="9"/>
        <v>6.206666666666666</v>
      </c>
      <c r="O35" s="323">
        <f t="shared" si="9"/>
        <v>7.443333333333333</v>
      </c>
      <c r="P35" s="323">
        <f t="shared" si="9"/>
        <v>8.68</v>
      </c>
      <c r="Q35" s="323">
        <f t="shared" si="9"/>
        <v>9.916666666666666</v>
      </c>
      <c r="R35" s="323">
        <f t="shared" si="9"/>
        <v>10.535</v>
      </c>
      <c r="S35" s="310"/>
      <c r="T35" s="310"/>
      <c r="U35" s="310"/>
      <c r="V35" s="310"/>
      <c r="W35" s="310"/>
    </row>
    <row r="36" spans="1:23" ht="15.75">
      <c r="A36" s="321">
        <v>5</v>
      </c>
      <c r="B36" s="322">
        <f t="shared" si="10"/>
        <v>3.9310075044446307</v>
      </c>
      <c r="C36" s="321">
        <v>11.5</v>
      </c>
      <c r="D36" s="322">
        <f t="shared" si="10"/>
        <v>5.96166805516711</v>
      </c>
      <c r="E36" s="321">
        <v>18</v>
      </c>
      <c r="F36" s="322">
        <f t="shared" si="11"/>
        <v>7.458562327955702</v>
      </c>
      <c r="G36" s="321">
        <v>29</v>
      </c>
      <c r="H36" s="322">
        <f t="shared" si="12"/>
        <v>9.467119730942457</v>
      </c>
      <c r="I36" s="310"/>
      <c r="J36" s="339">
        <v>3.5</v>
      </c>
      <c r="K36" s="323">
        <f t="shared" si="13"/>
        <v>2.53</v>
      </c>
      <c r="L36" s="323">
        <f t="shared" si="9"/>
        <v>3.59</v>
      </c>
      <c r="M36" s="323">
        <f t="shared" si="9"/>
        <v>4.6499999999999995</v>
      </c>
      <c r="N36" s="323">
        <f t="shared" si="9"/>
        <v>5.709999999999999</v>
      </c>
      <c r="O36" s="323">
        <f t="shared" si="9"/>
        <v>6.77</v>
      </c>
      <c r="P36" s="323">
        <f t="shared" si="9"/>
        <v>7.829999999999999</v>
      </c>
      <c r="Q36" s="323">
        <f t="shared" si="9"/>
        <v>8.89</v>
      </c>
      <c r="R36" s="323">
        <f t="shared" si="9"/>
        <v>9.42</v>
      </c>
      <c r="S36" s="310"/>
      <c r="T36" s="310"/>
      <c r="U36" s="310"/>
      <c r="V36" s="310"/>
      <c r="W36" s="310"/>
    </row>
    <row r="37" spans="1:23" ht="15.75">
      <c r="A37" s="321">
        <v>5.5</v>
      </c>
      <c r="B37" s="322">
        <f t="shared" si="10"/>
        <v>4.122875452884795</v>
      </c>
      <c r="C37" s="321">
        <v>12</v>
      </c>
      <c r="D37" s="322">
        <f t="shared" si="10"/>
        <v>6.089890639412173</v>
      </c>
      <c r="E37" s="321">
        <v>18.5</v>
      </c>
      <c r="F37" s="322">
        <f t="shared" si="11"/>
        <v>7.561443909730469</v>
      </c>
      <c r="G37" s="321">
        <v>30</v>
      </c>
      <c r="H37" s="322">
        <f t="shared" si="12"/>
        <v>9.62896256094082</v>
      </c>
      <c r="I37" s="310"/>
      <c r="J37" s="340">
        <v>4</v>
      </c>
      <c r="K37" s="323">
        <f t="shared" si="13"/>
        <v>2.6075</v>
      </c>
      <c r="L37" s="323">
        <f t="shared" si="9"/>
        <v>3.535</v>
      </c>
      <c r="M37" s="323">
        <f t="shared" si="9"/>
        <v>4.4624999999999995</v>
      </c>
      <c r="N37" s="323">
        <f t="shared" si="9"/>
        <v>5.39</v>
      </c>
      <c r="O37" s="323">
        <f t="shared" si="9"/>
        <v>6.3175</v>
      </c>
      <c r="P37" s="323">
        <f t="shared" si="9"/>
        <v>7.244999999999999</v>
      </c>
      <c r="Q37" s="323">
        <f t="shared" si="9"/>
        <v>8.1725</v>
      </c>
      <c r="R37" s="323">
        <f t="shared" si="9"/>
        <v>8.63625</v>
      </c>
      <c r="S37" s="310"/>
      <c r="T37" s="310"/>
      <c r="U37" s="310"/>
      <c r="V37" s="310"/>
      <c r="W37" s="310"/>
    </row>
    <row r="38" spans="1:23" ht="15.75">
      <c r="A38" s="321">
        <v>6</v>
      </c>
      <c r="B38" s="322">
        <f t="shared" si="10"/>
        <v>4.306202967812827</v>
      </c>
      <c r="C38" s="321">
        <v>12.5</v>
      </c>
      <c r="D38" s="322">
        <f t="shared" si="10"/>
        <v>6.215468606629753</v>
      </c>
      <c r="E38" s="321">
        <v>19</v>
      </c>
      <c r="F38" s="322">
        <f t="shared" si="11"/>
        <v>7.662944342744505</v>
      </c>
      <c r="G38" s="321">
        <v>31</v>
      </c>
      <c r="H38" s="322">
        <f t="shared" si="12"/>
        <v>9.788129749855178</v>
      </c>
      <c r="I38" s="310"/>
      <c r="J38" s="340">
        <v>5</v>
      </c>
      <c r="K38" s="323">
        <f t="shared" si="13"/>
        <v>2.842</v>
      </c>
      <c r="L38" s="323">
        <f t="shared" si="9"/>
        <v>3.584</v>
      </c>
      <c r="M38" s="323">
        <f t="shared" si="9"/>
        <v>4.3260000000000005</v>
      </c>
      <c r="N38" s="323">
        <f t="shared" si="9"/>
        <v>5.068</v>
      </c>
      <c r="O38" s="323">
        <f t="shared" si="9"/>
        <v>5.8100000000000005</v>
      </c>
      <c r="P38" s="323">
        <f t="shared" si="9"/>
        <v>6.552</v>
      </c>
      <c r="Q38" s="323">
        <f t="shared" si="9"/>
        <v>7.2940000000000005</v>
      </c>
      <c r="R38" s="323">
        <f t="shared" si="9"/>
        <v>7.664999999999999</v>
      </c>
      <c r="S38" s="310"/>
      <c r="T38" s="310"/>
      <c r="U38" s="310"/>
      <c r="V38" s="310"/>
      <c r="W38" s="310"/>
    </row>
    <row r="39" spans="1:23" ht="15.75">
      <c r="A39" s="321">
        <v>6.5</v>
      </c>
      <c r="B39" s="322">
        <f t="shared" si="10"/>
        <v>4.482038152448058</v>
      </c>
      <c r="C39" s="321">
        <v>13</v>
      </c>
      <c r="D39" s="322">
        <f t="shared" si="10"/>
        <v>6.338559142265693</v>
      </c>
      <c r="E39" s="321">
        <v>19.5</v>
      </c>
      <c r="F39" s="322">
        <f t="shared" si="11"/>
        <v>7.763117801502178</v>
      </c>
      <c r="G39" s="321">
        <v>32</v>
      </c>
      <c r="H39" s="322">
        <f t="shared" si="12"/>
        <v>9.944749770607604</v>
      </c>
      <c r="I39" s="310"/>
      <c r="J39" s="340">
        <v>6</v>
      </c>
      <c r="K39" s="323">
        <f t="shared" si="13"/>
        <v>3.138333333333333</v>
      </c>
      <c r="L39" s="323">
        <f t="shared" si="9"/>
        <v>3.756666666666667</v>
      </c>
      <c r="M39" s="323">
        <f t="shared" si="9"/>
        <v>4.375</v>
      </c>
      <c r="N39" s="323">
        <f t="shared" si="9"/>
        <v>4.993333333333333</v>
      </c>
      <c r="O39" s="323">
        <f t="shared" si="9"/>
        <v>5.611666666666666</v>
      </c>
      <c r="P39" s="323">
        <f t="shared" si="9"/>
        <v>6.23</v>
      </c>
      <c r="Q39" s="323">
        <f t="shared" si="9"/>
        <v>6.848333333333333</v>
      </c>
      <c r="R39" s="323">
        <f t="shared" si="9"/>
        <v>7.157500000000001</v>
      </c>
      <c r="S39" s="310"/>
      <c r="T39" s="310"/>
      <c r="U39" s="310"/>
      <c r="V39" s="310"/>
      <c r="W39" s="310"/>
    </row>
    <row r="40" spans="1:23" ht="15.75">
      <c r="A40" s="310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</row>
    <row r="41" spans="1:23" ht="18.75">
      <c r="A41" s="925" t="s">
        <v>335</v>
      </c>
      <c r="B41" s="925"/>
      <c r="C41" s="925"/>
      <c r="D41" s="925"/>
      <c r="E41" s="925"/>
      <c r="F41" s="925"/>
      <c r="G41" s="925"/>
      <c r="H41" s="926">
        <v>0</v>
      </c>
      <c r="I41" s="927"/>
      <c r="J41" s="926">
        <v>20</v>
      </c>
      <c r="K41" s="927"/>
      <c r="L41" s="926">
        <v>40</v>
      </c>
      <c r="M41" s="927"/>
      <c r="N41" s="926">
        <v>60</v>
      </c>
      <c r="O41" s="927"/>
      <c r="P41" s="926">
        <v>80</v>
      </c>
      <c r="Q41" s="927"/>
      <c r="R41" s="926">
        <v>90</v>
      </c>
      <c r="S41" s="927"/>
      <c r="T41" s="310"/>
      <c r="U41" s="310"/>
      <c r="V41" s="310"/>
      <c r="W41" s="310"/>
    </row>
    <row r="42" spans="1:23" ht="18.75">
      <c r="A42" s="934" t="s">
        <v>336</v>
      </c>
      <c r="B42" s="934"/>
      <c r="C42" s="934"/>
      <c r="D42" s="934"/>
      <c r="E42" s="934"/>
      <c r="F42" s="934"/>
      <c r="G42" s="934"/>
      <c r="H42" s="922">
        <f>0.144*(COS(RADIANS(H41)))</f>
        <v>0.144</v>
      </c>
      <c r="I42" s="923"/>
      <c r="J42" s="922">
        <f>0.144*(COS(RADIANS(J41)))</f>
        <v>0.1353157373931708</v>
      </c>
      <c r="K42" s="923"/>
      <c r="L42" s="922">
        <f>0.144*(COS(RADIANS(L41)))</f>
        <v>0.11031039980913282</v>
      </c>
      <c r="M42" s="923"/>
      <c r="N42" s="922">
        <f>0.144*(COS(RADIANS(N41)))</f>
        <v>0.07200000000000001</v>
      </c>
      <c r="O42" s="923"/>
      <c r="P42" s="922">
        <f>0.144*(COS(RADIANS(P41)))</f>
        <v>0.025005337584037977</v>
      </c>
      <c r="Q42" s="923"/>
      <c r="R42" s="924">
        <f>0.144*(COS(RADIANS(R41)))</f>
        <v>8.821068875342064E-18</v>
      </c>
      <c r="S42" s="924"/>
      <c r="T42" s="310"/>
      <c r="U42" s="310"/>
      <c r="V42" s="310"/>
      <c r="W42" s="310"/>
    </row>
    <row r="43" spans="1:23" ht="15.75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</row>
    <row r="44" spans="1:23" ht="15.75">
      <c r="A44" s="925" t="s">
        <v>337</v>
      </c>
      <c r="B44" s="925"/>
      <c r="C44" s="925"/>
      <c r="D44" s="925"/>
      <c r="E44" s="925"/>
      <c r="F44" s="925"/>
      <c r="G44" s="925"/>
      <c r="H44" s="312" t="s">
        <v>338</v>
      </c>
      <c r="I44" s="312" t="s">
        <v>339</v>
      </c>
      <c r="J44" s="312" t="s">
        <v>340</v>
      </c>
      <c r="K44" s="312" t="s">
        <v>341</v>
      </c>
      <c r="L44" s="312" t="s">
        <v>342</v>
      </c>
      <c r="M44" s="312" t="s">
        <v>343</v>
      </c>
      <c r="N44" s="312" t="s">
        <v>344</v>
      </c>
      <c r="O44" s="312" t="s">
        <v>345</v>
      </c>
      <c r="P44" s="312" t="s">
        <v>346</v>
      </c>
      <c r="Q44" s="312" t="s">
        <v>347</v>
      </c>
      <c r="R44" s="312" t="s">
        <v>348</v>
      </c>
      <c r="S44" s="312" t="s">
        <v>349</v>
      </c>
      <c r="T44" s="310"/>
      <c r="U44" s="310"/>
      <c r="V44" s="310"/>
      <c r="W44" s="310"/>
    </row>
    <row r="45" spans="1:23" ht="15.75">
      <c r="A45" s="925" t="s">
        <v>350</v>
      </c>
      <c r="B45" s="925"/>
      <c r="C45" s="925"/>
      <c r="D45" s="925"/>
      <c r="E45" s="925"/>
      <c r="F45" s="925"/>
      <c r="G45" s="925"/>
      <c r="H45" s="341">
        <v>16.3</v>
      </c>
      <c r="I45" s="341">
        <v>16.2</v>
      </c>
      <c r="J45" s="341">
        <v>16.1</v>
      </c>
      <c r="K45" s="341">
        <v>16</v>
      </c>
      <c r="L45" s="341">
        <v>15.8</v>
      </c>
      <c r="M45" s="341">
        <v>15.8</v>
      </c>
      <c r="N45" s="341">
        <v>15.8</v>
      </c>
      <c r="O45" s="341">
        <v>15.8</v>
      </c>
      <c r="P45" s="341">
        <v>15.9</v>
      </c>
      <c r="Q45" s="341">
        <v>16.1</v>
      </c>
      <c r="R45" s="341">
        <v>16.2</v>
      </c>
      <c r="S45" s="341">
        <v>16.3</v>
      </c>
      <c r="T45" s="310"/>
      <c r="U45" s="310"/>
      <c r="V45" s="310"/>
      <c r="W45" s="310"/>
    </row>
    <row r="46" spans="1:23" ht="15.75">
      <c r="A46" s="310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</row>
    <row r="47" spans="1:23" ht="16.5" thickBot="1">
      <c r="A47" s="342"/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10"/>
    </row>
    <row r="48" spans="1:23" ht="16.5" thickTop="1">
      <c r="A48" s="310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</row>
    <row r="49" spans="1:23" ht="15.75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</row>
    <row r="50" spans="1:23" ht="21">
      <c r="A50" s="918" t="s">
        <v>351</v>
      </c>
      <c r="B50" s="918"/>
      <c r="C50" s="918"/>
      <c r="D50" s="918"/>
      <c r="E50" s="918"/>
      <c r="F50" s="918"/>
      <c r="G50" s="918"/>
      <c r="H50" s="918"/>
      <c r="I50" s="918"/>
      <c r="J50" s="918"/>
      <c r="K50" s="918"/>
      <c r="L50" s="918"/>
      <c r="M50" s="918"/>
      <c r="N50" s="918"/>
      <c r="O50" s="918"/>
      <c r="P50" s="918"/>
      <c r="Q50" s="918"/>
      <c r="R50" s="918"/>
      <c r="S50" s="943"/>
      <c r="T50" s="343"/>
      <c r="U50" s="310"/>
      <c r="V50" s="310"/>
      <c r="W50" s="310"/>
    </row>
    <row r="51" spans="1:23" ht="21">
      <c r="A51" s="944" t="s">
        <v>352</v>
      </c>
      <c r="B51" s="944"/>
      <c r="C51" s="944"/>
      <c r="D51" s="944"/>
      <c r="E51" s="944"/>
      <c r="F51" s="944"/>
      <c r="G51" s="944"/>
      <c r="H51" s="944"/>
      <c r="I51" s="944"/>
      <c r="J51" s="944"/>
      <c r="K51" s="944"/>
      <c r="L51" s="944"/>
      <c r="M51" s="944"/>
      <c r="N51" s="944"/>
      <c r="O51" s="944"/>
      <c r="P51" s="944"/>
      <c r="Q51" s="944"/>
      <c r="R51" s="944"/>
      <c r="S51" s="945"/>
      <c r="T51" s="946" t="s">
        <v>353</v>
      </c>
      <c r="U51" s="947"/>
      <c r="V51" s="948"/>
      <c r="W51" s="310"/>
    </row>
    <row r="52" spans="1:23" ht="18.75">
      <c r="A52" s="310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949" t="s">
        <v>354</v>
      </c>
      <c r="U52" s="950"/>
      <c r="V52" s="951"/>
      <c r="W52" s="310"/>
    </row>
    <row r="53" spans="1:23" ht="18.75">
      <c r="A53" s="952" t="s">
        <v>355</v>
      </c>
      <c r="B53" s="952"/>
      <c r="C53" s="952"/>
      <c r="D53" s="952"/>
      <c r="E53" s="952"/>
      <c r="F53" s="952"/>
      <c r="G53" s="952"/>
      <c r="H53" s="952"/>
      <c r="I53" s="952"/>
      <c r="J53" s="952"/>
      <c r="K53" s="952"/>
      <c r="L53" s="952"/>
      <c r="M53" s="952"/>
      <c r="N53" s="952"/>
      <c r="O53" s="952"/>
      <c r="P53" s="952"/>
      <c r="Q53" s="952"/>
      <c r="R53" s="952"/>
      <c r="S53" s="952"/>
      <c r="T53" s="928" t="s">
        <v>356</v>
      </c>
      <c r="U53" s="929"/>
      <c r="V53" s="930"/>
      <c r="W53" s="310"/>
    </row>
    <row r="54" spans="1:23" ht="15.75">
      <c r="A54" s="931" t="s">
        <v>357</v>
      </c>
      <c r="B54" s="931"/>
      <c r="C54" s="931"/>
      <c r="D54" s="931"/>
      <c r="E54" s="931"/>
      <c r="F54" s="931"/>
      <c r="G54" s="931"/>
      <c r="H54" s="931"/>
      <c r="I54" s="931"/>
      <c r="J54" s="931"/>
      <c r="K54" s="931"/>
      <c r="L54" s="931"/>
      <c r="M54" s="931"/>
      <c r="N54" s="931"/>
      <c r="O54" s="931"/>
      <c r="P54" s="931"/>
      <c r="Q54" s="931"/>
      <c r="R54" s="931"/>
      <c r="S54" s="931"/>
      <c r="T54" s="344"/>
      <c r="U54" s="344"/>
      <c r="V54" s="344"/>
      <c r="W54" s="310"/>
    </row>
    <row r="55" spans="1:23" ht="15.75">
      <c r="A55" s="932" t="s">
        <v>358</v>
      </c>
      <c r="B55" s="932"/>
      <c r="C55" s="345">
        <v>2</v>
      </c>
      <c r="D55" s="345">
        <v>4</v>
      </c>
      <c r="E55" s="345">
        <v>6</v>
      </c>
      <c r="F55" s="345">
        <v>8</v>
      </c>
      <c r="G55" s="345">
        <v>10</v>
      </c>
      <c r="H55" s="345">
        <v>12</v>
      </c>
      <c r="I55" s="345">
        <v>14</v>
      </c>
      <c r="J55" s="345">
        <v>16</v>
      </c>
      <c r="K55" s="345">
        <v>18</v>
      </c>
      <c r="L55" s="345">
        <v>20</v>
      </c>
      <c r="M55" s="345">
        <v>22</v>
      </c>
      <c r="N55" s="345">
        <v>24</v>
      </c>
      <c r="O55" s="345">
        <v>26</v>
      </c>
      <c r="P55" s="345">
        <v>28</v>
      </c>
      <c r="Q55" s="345">
        <v>30</v>
      </c>
      <c r="R55" s="345">
        <v>32</v>
      </c>
      <c r="S55" s="345">
        <v>34</v>
      </c>
      <c r="T55" s="345">
        <v>36</v>
      </c>
      <c r="U55" s="345">
        <v>38</v>
      </c>
      <c r="V55" s="345">
        <v>40</v>
      </c>
      <c r="W55" s="346"/>
    </row>
    <row r="56" spans="1:23" ht="15.75">
      <c r="A56" s="933" t="s">
        <v>359</v>
      </c>
      <c r="B56" s="347">
        <v>5</v>
      </c>
      <c r="C56" s="341">
        <f>16-1.758*SQRT(C$55)-(1.002/TAN(RADIANS($B56+(7.31/($B56+4.4)))))+0.144*COS(RADIANS($B56))</f>
        <v>3.7543540712229486</v>
      </c>
      <c r="D56" s="341">
        <f aca="true" t="shared" si="14" ref="D56:V69">16-1.758*SQRT(D$55)-(1.002/TAN(RADIANS($B56+(7.31/($B56+4.4)))))+0.144*COS(RADIANS($B56))</f>
        <v>2.7245415138748488</v>
      </c>
      <c r="E56" s="341">
        <f t="shared" si="14"/>
        <v>1.9343385460620228</v>
      </c>
      <c r="F56" s="341">
        <f t="shared" si="14"/>
        <v>1.268166628571047</v>
      </c>
      <c r="G56" s="341">
        <f t="shared" si="14"/>
        <v>0.6812573872988389</v>
      </c>
      <c r="H56" s="341">
        <f t="shared" si="14"/>
        <v>0.15065087446267725</v>
      </c>
      <c r="I56" s="341">
        <f t="shared" si="14"/>
        <v>-0.33729217207373974</v>
      </c>
      <c r="J56" s="341">
        <f t="shared" si="14"/>
        <v>-0.7914584861251511</v>
      </c>
      <c r="K56" s="341">
        <f t="shared" si="14"/>
        <v>-1.2180208140808533</v>
      </c>
      <c r="L56" s="341">
        <f t="shared" si="14"/>
        <v>-1.6214734950144132</v>
      </c>
      <c r="M56" s="341">
        <f t="shared" si="14"/>
        <v>-2.0052093918947413</v>
      </c>
      <c r="N56" s="341">
        <f t="shared" si="14"/>
        <v>-2.3718644217508054</v>
      </c>
      <c r="O56" s="341">
        <f t="shared" si="14"/>
        <v>-2.723534791021267</v>
      </c>
      <c r="P56" s="341">
        <f t="shared" si="14"/>
        <v>-3.0619200958282526</v>
      </c>
      <c r="Q56" s="341">
        <f t="shared" si="14"/>
        <v>-3.3884210470659717</v>
      </c>
      <c r="R56" s="341">
        <f t="shared" si="14"/>
        <v>-3.7042082567327554</v>
      </c>
      <c r="S56" s="341">
        <f t="shared" si="14"/>
        <v>-4.010271917263189</v>
      </c>
      <c r="T56" s="341">
        <f t="shared" si="14"/>
        <v>-4.307458486125151</v>
      </c>
      <c r="U56" s="341">
        <f t="shared" si="14"/>
        <v>-4.59649830334461</v>
      </c>
      <c r="V56" s="341">
        <f t="shared" si="14"/>
        <v>-4.878026739277173</v>
      </c>
      <c r="W56" s="310"/>
    </row>
    <row r="57" spans="1:23" ht="15.75">
      <c r="A57" s="933"/>
      <c r="B57" s="347">
        <v>6</v>
      </c>
      <c r="C57" s="341">
        <f aca="true" t="shared" si="15" ref="C57:R81">16-1.758*SQRT(C$55)-(1.002/TAN(RADIANS($B57+(7.31/($B57+4.4)))))+0.144*COS(RADIANS($B57))</f>
        <v>5.131108683456378</v>
      </c>
      <c r="D57" s="341">
        <f t="shared" si="14"/>
        <v>4.101296126108278</v>
      </c>
      <c r="E57" s="341">
        <f t="shared" si="14"/>
        <v>3.311093158295452</v>
      </c>
      <c r="F57" s="341">
        <f t="shared" si="14"/>
        <v>2.644921240804476</v>
      </c>
      <c r="G57" s="341">
        <f t="shared" si="14"/>
        <v>2.058011999532268</v>
      </c>
      <c r="H57" s="341">
        <f t="shared" si="14"/>
        <v>1.5274054866961062</v>
      </c>
      <c r="I57" s="341">
        <f t="shared" si="14"/>
        <v>1.0394624401596892</v>
      </c>
      <c r="J57" s="341">
        <f t="shared" si="14"/>
        <v>0.5852961261082779</v>
      </c>
      <c r="K57" s="341">
        <f t="shared" si="14"/>
        <v>0.15873379815257563</v>
      </c>
      <c r="L57" s="341">
        <f t="shared" si="14"/>
        <v>-0.24471888278098428</v>
      </c>
      <c r="M57" s="341">
        <f t="shared" si="14"/>
        <v>-0.6284547796613122</v>
      </c>
      <c r="N57" s="341">
        <f t="shared" si="14"/>
        <v>-0.9951098095173763</v>
      </c>
      <c r="O57" s="341">
        <f t="shared" si="14"/>
        <v>-1.346780178787838</v>
      </c>
      <c r="P57" s="341">
        <f t="shared" si="14"/>
        <v>-1.6851654835948235</v>
      </c>
      <c r="Q57" s="341">
        <f t="shared" si="14"/>
        <v>-2.0116664348325424</v>
      </c>
      <c r="R57" s="341">
        <f t="shared" si="14"/>
        <v>-2.327453644499326</v>
      </c>
      <c r="S57" s="341">
        <f t="shared" si="14"/>
        <v>-2.63351730502976</v>
      </c>
      <c r="T57" s="341">
        <f t="shared" si="14"/>
        <v>-2.930703873891722</v>
      </c>
      <c r="U57" s="341">
        <f t="shared" si="14"/>
        <v>-3.219743691111181</v>
      </c>
      <c r="V57" s="341">
        <f t="shared" si="14"/>
        <v>-3.5012721270437437</v>
      </c>
      <c r="W57" s="310"/>
    </row>
    <row r="58" spans="1:23" ht="15.75">
      <c r="A58" s="933"/>
      <c r="B58" s="347">
        <v>7</v>
      </c>
      <c r="C58" s="341">
        <f t="shared" si="15"/>
        <v>6.188097101712994</v>
      </c>
      <c r="D58" s="341">
        <f t="shared" si="14"/>
        <v>5.158284544364895</v>
      </c>
      <c r="E58" s="341">
        <f t="shared" si="14"/>
        <v>4.368081576552068</v>
      </c>
      <c r="F58" s="341">
        <f t="shared" si="14"/>
        <v>3.701909659061092</v>
      </c>
      <c r="G58" s="341">
        <f t="shared" si="14"/>
        <v>3.115000417788884</v>
      </c>
      <c r="H58" s="341">
        <f t="shared" si="14"/>
        <v>2.5843939049527225</v>
      </c>
      <c r="I58" s="341">
        <f t="shared" si="14"/>
        <v>2.0964508584163055</v>
      </c>
      <c r="J58" s="341">
        <f t="shared" si="14"/>
        <v>1.6422845443648941</v>
      </c>
      <c r="K58" s="341">
        <f t="shared" si="14"/>
        <v>1.2157222164091919</v>
      </c>
      <c r="L58" s="341">
        <f t="shared" si="14"/>
        <v>0.812269535475632</v>
      </c>
      <c r="M58" s="341">
        <f t="shared" si="14"/>
        <v>0.4285336385953041</v>
      </c>
      <c r="N58" s="341">
        <f t="shared" si="14"/>
        <v>0.06187860873924006</v>
      </c>
      <c r="O58" s="341">
        <f t="shared" si="14"/>
        <v>-0.28979176053122163</v>
      </c>
      <c r="P58" s="341">
        <f t="shared" si="14"/>
        <v>-0.6281770653382073</v>
      </c>
      <c r="Q58" s="341">
        <f t="shared" si="14"/>
        <v>-0.9546780165759263</v>
      </c>
      <c r="R58" s="341">
        <f t="shared" si="14"/>
        <v>-1.27046522624271</v>
      </c>
      <c r="S58" s="341">
        <f t="shared" si="14"/>
        <v>-1.576528886773144</v>
      </c>
      <c r="T58" s="341">
        <f t="shared" si="14"/>
        <v>-1.8737154556351059</v>
      </c>
      <c r="U58" s="341">
        <f t="shared" si="14"/>
        <v>-2.162755272854565</v>
      </c>
      <c r="V58" s="341">
        <f t="shared" si="14"/>
        <v>-2.4442837087871276</v>
      </c>
      <c r="W58" s="310"/>
    </row>
    <row r="59" spans="1:23" ht="15.75">
      <c r="A59" s="933"/>
      <c r="B59" s="347">
        <v>8</v>
      </c>
      <c r="C59" s="341">
        <f t="shared" si="15"/>
        <v>7.022785637888531</v>
      </c>
      <c r="D59" s="341">
        <f t="shared" si="14"/>
        <v>5.992973080540431</v>
      </c>
      <c r="E59" s="341">
        <f t="shared" si="14"/>
        <v>5.202770112727605</v>
      </c>
      <c r="F59" s="341">
        <f t="shared" si="14"/>
        <v>4.536598195236629</v>
      </c>
      <c r="G59" s="341">
        <f t="shared" si="14"/>
        <v>3.949688953964421</v>
      </c>
      <c r="H59" s="341">
        <f t="shared" si="14"/>
        <v>3.419082441128259</v>
      </c>
      <c r="I59" s="341">
        <f t="shared" si="14"/>
        <v>2.9311393945918423</v>
      </c>
      <c r="J59" s="341">
        <f t="shared" si="14"/>
        <v>2.476973080540431</v>
      </c>
      <c r="K59" s="341">
        <f t="shared" si="14"/>
        <v>2.0504107525847286</v>
      </c>
      <c r="L59" s="341">
        <f t="shared" si="14"/>
        <v>1.646958071651169</v>
      </c>
      <c r="M59" s="341">
        <f t="shared" si="14"/>
        <v>1.263222174770841</v>
      </c>
      <c r="N59" s="341">
        <f t="shared" si="14"/>
        <v>0.896567144914777</v>
      </c>
      <c r="O59" s="341">
        <f t="shared" si="14"/>
        <v>0.5448967756443153</v>
      </c>
      <c r="P59" s="341">
        <f t="shared" si="14"/>
        <v>0.20651147083732965</v>
      </c>
      <c r="Q59" s="341">
        <f t="shared" si="14"/>
        <v>-0.1199894804003894</v>
      </c>
      <c r="R59" s="341">
        <f t="shared" si="14"/>
        <v>-0.4357766900671731</v>
      </c>
      <c r="S59" s="341">
        <f t="shared" si="14"/>
        <v>-0.741840350597607</v>
      </c>
      <c r="T59" s="341">
        <f t="shared" si="14"/>
        <v>-1.039026919459569</v>
      </c>
      <c r="U59" s="341">
        <f t="shared" si="14"/>
        <v>-1.328066736679028</v>
      </c>
      <c r="V59" s="341">
        <f t="shared" si="14"/>
        <v>-1.6095951726115907</v>
      </c>
      <c r="W59" s="310"/>
    </row>
    <row r="60" spans="1:23" ht="15.75">
      <c r="A60" s="933"/>
      <c r="B60" s="347">
        <v>9</v>
      </c>
      <c r="C60" s="341">
        <f t="shared" si="15"/>
        <v>7.697410500431919</v>
      </c>
      <c r="D60" s="341">
        <f t="shared" si="14"/>
        <v>6.667597943083819</v>
      </c>
      <c r="E60" s="341">
        <f t="shared" si="14"/>
        <v>5.877394975270993</v>
      </c>
      <c r="F60" s="341">
        <f t="shared" si="14"/>
        <v>5.211223057780017</v>
      </c>
      <c r="G60" s="341">
        <f t="shared" si="14"/>
        <v>4.624313816507809</v>
      </c>
      <c r="H60" s="341">
        <f t="shared" si="14"/>
        <v>4.093707303671647</v>
      </c>
      <c r="I60" s="341">
        <f t="shared" si="14"/>
        <v>3.60576425713523</v>
      </c>
      <c r="J60" s="341">
        <f t="shared" si="14"/>
        <v>3.151597943083819</v>
      </c>
      <c r="K60" s="341">
        <f t="shared" si="14"/>
        <v>2.7250356151281165</v>
      </c>
      <c r="L60" s="341">
        <f t="shared" si="14"/>
        <v>2.3215829341945566</v>
      </c>
      <c r="M60" s="341">
        <f t="shared" si="14"/>
        <v>1.9378470373142287</v>
      </c>
      <c r="N60" s="341">
        <f t="shared" si="14"/>
        <v>1.5711920074581647</v>
      </c>
      <c r="O60" s="341">
        <f t="shared" si="14"/>
        <v>1.219521638187703</v>
      </c>
      <c r="P60" s="341">
        <f t="shared" si="14"/>
        <v>0.8811363333807174</v>
      </c>
      <c r="Q60" s="341">
        <f t="shared" si="14"/>
        <v>0.5546353821429983</v>
      </c>
      <c r="R60" s="341">
        <f t="shared" si="14"/>
        <v>0.23884817247621462</v>
      </c>
      <c r="S60" s="341">
        <f t="shared" si="14"/>
        <v>-0.06721548805421926</v>
      </c>
      <c r="T60" s="341">
        <f t="shared" si="14"/>
        <v>-0.3644020569161812</v>
      </c>
      <c r="U60" s="341">
        <f t="shared" si="14"/>
        <v>-0.6534418741356403</v>
      </c>
      <c r="V60" s="341">
        <f t="shared" si="14"/>
        <v>-0.934970310068203</v>
      </c>
      <c r="W60" s="310"/>
    </row>
    <row r="61" spans="1:23" ht="15.75">
      <c r="A61" s="933"/>
      <c r="B61" s="347">
        <v>10</v>
      </c>
      <c r="C61" s="341">
        <f t="shared" si="15"/>
        <v>8.253336395272246</v>
      </c>
      <c r="D61" s="341">
        <f t="shared" si="14"/>
        <v>7.223523837924147</v>
      </c>
      <c r="E61" s="341">
        <f t="shared" si="14"/>
        <v>6.433320870111321</v>
      </c>
      <c r="F61" s="341">
        <f t="shared" si="14"/>
        <v>5.767148952620345</v>
      </c>
      <c r="G61" s="341">
        <f t="shared" si="14"/>
        <v>5.180239711348137</v>
      </c>
      <c r="H61" s="341">
        <f t="shared" si="14"/>
        <v>4.649633198511975</v>
      </c>
      <c r="I61" s="341">
        <f t="shared" si="14"/>
        <v>4.1616901519755585</v>
      </c>
      <c r="J61" s="341">
        <f t="shared" si="14"/>
        <v>3.707523837924147</v>
      </c>
      <c r="K61" s="341">
        <f t="shared" si="14"/>
        <v>3.280961509968445</v>
      </c>
      <c r="L61" s="341">
        <f t="shared" si="14"/>
        <v>2.877508829034885</v>
      </c>
      <c r="M61" s="341">
        <f t="shared" si="14"/>
        <v>2.493772932154557</v>
      </c>
      <c r="N61" s="341">
        <f t="shared" si="14"/>
        <v>2.127117902298493</v>
      </c>
      <c r="O61" s="341">
        <f t="shared" si="14"/>
        <v>1.775447533028031</v>
      </c>
      <c r="P61" s="341">
        <f t="shared" si="14"/>
        <v>1.4370622282210455</v>
      </c>
      <c r="Q61" s="341">
        <f t="shared" si="14"/>
        <v>1.1105612769833264</v>
      </c>
      <c r="R61" s="341">
        <f t="shared" si="14"/>
        <v>0.7947740673165427</v>
      </c>
      <c r="S61" s="341">
        <f t="shared" si="14"/>
        <v>0.4887104067861088</v>
      </c>
      <c r="T61" s="341">
        <f t="shared" si="14"/>
        <v>0.19152383792414687</v>
      </c>
      <c r="U61" s="341">
        <f t="shared" si="14"/>
        <v>-0.09751597929531217</v>
      </c>
      <c r="V61" s="341">
        <f t="shared" si="14"/>
        <v>-0.3790444152278749</v>
      </c>
      <c r="W61" s="310"/>
    </row>
    <row r="62" spans="1:23" ht="15.75">
      <c r="A62" s="933"/>
      <c r="B62" s="347">
        <v>11</v>
      </c>
      <c r="C62" s="341">
        <f t="shared" si="15"/>
        <v>8.719012876385074</v>
      </c>
      <c r="D62" s="341">
        <f t="shared" si="14"/>
        <v>7.689200319036973</v>
      </c>
      <c r="E62" s="341">
        <f t="shared" si="14"/>
        <v>6.898997351224147</v>
      </c>
      <c r="F62" s="341">
        <f t="shared" si="14"/>
        <v>6.232825433733171</v>
      </c>
      <c r="G62" s="341">
        <f t="shared" si="14"/>
        <v>5.645916192460963</v>
      </c>
      <c r="H62" s="341">
        <f t="shared" si="14"/>
        <v>5.115309679624802</v>
      </c>
      <c r="I62" s="341">
        <f t="shared" si="14"/>
        <v>4.627366633088385</v>
      </c>
      <c r="J62" s="341">
        <f t="shared" si="14"/>
        <v>4.173200319036973</v>
      </c>
      <c r="K62" s="341">
        <f t="shared" si="14"/>
        <v>3.7466379910812715</v>
      </c>
      <c r="L62" s="341">
        <f t="shared" si="14"/>
        <v>3.3431853101477116</v>
      </c>
      <c r="M62" s="341">
        <f t="shared" si="14"/>
        <v>2.9594494132673836</v>
      </c>
      <c r="N62" s="341">
        <f t="shared" si="14"/>
        <v>2.5927943834113196</v>
      </c>
      <c r="O62" s="341">
        <f t="shared" si="14"/>
        <v>2.241124014140858</v>
      </c>
      <c r="P62" s="341">
        <f t="shared" si="14"/>
        <v>1.9027387093338721</v>
      </c>
      <c r="Q62" s="341">
        <f t="shared" si="14"/>
        <v>1.576237758096153</v>
      </c>
      <c r="R62" s="341">
        <f t="shared" si="14"/>
        <v>1.2604505484293693</v>
      </c>
      <c r="S62" s="341">
        <f t="shared" si="14"/>
        <v>0.9543868878989356</v>
      </c>
      <c r="T62" s="341">
        <f t="shared" si="14"/>
        <v>0.6572003190369736</v>
      </c>
      <c r="U62" s="341">
        <f t="shared" si="14"/>
        <v>0.3681605018175146</v>
      </c>
      <c r="V62" s="341">
        <f t="shared" si="14"/>
        <v>0.08663206588495184</v>
      </c>
      <c r="W62" s="310"/>
    </row>
    <row r="63" spans="1:23" ht="15.75">
      <c r="A63" s="933"/>
      <c r="B63" s="347">
        <v>12</v>
      </c>
      <c r="C63" s="341">
        <f t="shared" si="15"/>
        <v>9.114589971951668</v>
      </c>
      <c r="D63" s="341">
        <f t="shared" si="14"/>
        <v>8.084777414603568</v>
      </c>
      <c r="E63" s="341">
        <f t="shared" si="14"/>
        <v>7.294574446790742</v>
      </c>
      <c r="F63" s="341">
        <f t="shared" si="14"/>
        <v>6.628402529299766</v>
      </c>
      <c r="G63" s="341">
        <f t="shared" si="14"/>
        <v>6.041493288027558</v>
      </c>
      <c r="H63" s="341">
        <f t="shared" si="14"/>
        <v>5.510886775191397</v>
      </c>
      <c r="I63" s="341">
        <f t="shared" si="14"/>
        <v>5.02294372865498</v>
      </c>
      <c r="J63" s="341">
        <f t="shared" si="14"/>
        <v>4.568777414603568</v>
      </c>
      <c r="K63" s="341">
        <f t="shared" si="14"/>
        <v>4.142215086647866</v>
      </c>
      <c r="L63" s="341">
        <f t="shared" si="14"/>
        <v>3.738762405714306</v>
      </c>
      <c r="M63" s="341">
        <f t="shared" si="14"/>
        <v>3.355026508833978</v>
      </c>
      <c r="N63" s="341">
        <f t="shared" si="14"/>
        <v>2.988371478977914</v>
      </c>
      <c r="O63" s="341">
        <f t="shared" si="14"/>
        <v>2.6367011097074524</v>
      </c>
      <c r="P63" s="341">
        <f t="shared" si="14"/>
        <v>2.298315804900467</v>
      </c>
      <c r="Q63" s="341">
        <f t="shared" si="14"/>
        <v>1.9718148536627478</v>
      </c>
      <c r="R63" s="341">
        <f t="shared" si="14"/>
        <v>1.656027643995964</v>
      </c>
      <c r="S63" s="341">
        <f t="shared" si="14"/>
        <v>1.3499639834655301</v>
      </c>
      <c r="T63" s="341">
        <f t="shared" si="14"/>
        <v>1.0527774146035682</v>
      </c>
      <c r="U63" s="341">
        <f t="shared" si="14"/>
        <v>0.7637375973841092</v>
      </c>
      <c r="V63" s="341">
        <f t="shared" si="14"/>
        <v>0.48220916145154646</v>
      </c>
      <c r="W63" s="310"/>
    </row>
    <row r="64" spans="1:23" ht="15.75">
      <c r="A64" s="933"/>
      <c r="B64" s="347">
        <v>13</v>
      </c>
      <c r="C64" s="341">
        <f t="shared" si="15"/>
        <v>9.454706310875931</v>
      </c>
      <c r="D64" s="341">
        <f t="shared" si="14"/>
        <v>8.42489375352783</v>
      </c>
      <c r="E64" s="341">
        <f t="shared" si="14"/>
        <v>7.634690785715003</v>
      </c>
      <c r="F64" s="341">
        <f t="shared" si="14"/>
        <v>6.968518868224027</v>
      </c>
      <c r="G64" s="341">
        <f t="shared" si="14"/>
        <v>6.381609626951819</v>
      </c>
      <c r="H64" s="341">
        <f t="shared" si="14"/>
        <v>5.851003114115658</v>
      </c>
      <c r="I64" s="341">
        <f t="shared" si="14"/>
        <v>5.363060067579241</v>
      </c>
      <c r="J64" s="341">
        <f t="shared" si="14"/>
        <v>4.908893753527829</v>
      </c>
      <c r="K64" s="341">
        <f t="shared" si="14"/>
        <v>4.482331425572127</v>
      </c>
      <c r="L64" s="341">
        <f t="shared" si="14"/>
        <v>4.078878744638567</v>
      </c>
      <c r="M64" s="341">
        <f t="shared" si="14"/>
        <v>3.6951428477582393</v>
      </c>
      <c r="N64" s="341">
        <f t="shared" si="14"/>
        <v>3.3284878179021753</v>
      </c>
      <c r="O64" s="341">
        <f t="shared" si="14"/>
        <v>2.9768174486317136</v>
      </c>
      <c r="P64" s="341">
        <f t="shared" si="14"/>
        <v>2.638432143824728</v>
      </c>
      <c r="Q64" s="341">
        <f t="shared" si="14"/>
        <v>2.311931192587009</v>
      </c>
      <c r="R64" s="341">
        <f t="shared" si="14"/>
        <v>1.9961439829202252</v>
      </c>
      <c r="S64" s="341">
        <f t="shared" si="14"/>
        <v>1.6900803223897913</v>
      </c>
      <c r="T64" s="341">
        <f t="shared" si="14"/>
        <v>1.3928937535278294</v>
      </c>
      <c r="U64" s="341">
        <f t="shared" si="14"/>
        <v>1.1038539363083704</v>
      </c>
      <c r="V64" s="341">
        <f t="shared" si="14"/>
        <v>0.8223255003758076</v>
      </c>
      <c r="W64" s="310"/>
    </row>
    <row r="65" spans="1:23" ht="15.75">
      <c r="A65" s="933"/>
      <c r="B65" s="347">
        <v>14</v>
      </c>
      <c r="C65" s="341">
        <f t="shared" si="15"/>
        <v>9.750234270541174</v>
      </c>
      <c r="D65" s="341">
        <f t="shared" si="14"/>
        <v>8.720421713193073</v>
      </c>
      <c r="E65" s="341">
        <f t="shared" si="14"/>
        <v>7.930218745380246</v>
      </c>
      <c r="F65" s="341">
        <f t="shared" si="14"/>
        <v>7.2640468278892705</v>
      </c>
      <c r="G65" s="341">
        <f t="shared" si="14"/>
        <v>6.677137586617063</v>
      </c>
      <c r="H65" s="341">
        <f t="shared" si="14"/>
        <v>6.146531073780901</v>
      </c>
      <c r="I65" s="341">
        <f t="shared" si="14"/>
        <v>5.658588027244484</v>
      </c>
      <c r="J65" s="341">
        <f t="shared" si="14"/>
        <v>5.204421713193073</v>
      </c>
      <c r="K65" s="341">
        <f t="shared" si="14"/>
        <v>4.77785938523737</v>
      </c>
      <c r="L65" s="341">
        <f t="shared" si="14"/>
        <v>4.37440670430381</v>
      </c>
      <c r="M65" s="341">
        <f t="shared" si="14"/>
        <v>3.990670807423483</v>
      </c>
      <c r="N65" s="341">
        <f t="shared" si="14"/>
        <v>3.624015777567419</v>
      </c>
      <c r="O65" s="341">
        <f t="shared" si="14"/>
        <v>3.272345408296957</v>
      </c>
      <c r="P65" s="341">
        <f t="shared" si="14"/>
        <v>2.9339601034899716</v>
      </c>
      <c r="Q65" s="341">
        <f t="shared" si="14"/>
        <v>2.6074591522522526</v>
      </c>
      <c r="R65" s="341">
        <f t="shared" si="14"/>
        <v>2.291671942585469</v>
      </c>
      <c r="S65" s="341">
        <f t="shared" si="14"/>
        <v>1.985608282055035</v>
      </c>
      <c r="T65" s="341">
        <f t="shared" si="14"/>
        <v>1.688421713193073</v>
      </c>
      <c r="U65" s="341">
        <f t="shared" si="14"/>
        <v>1.399381895973614</v>
      </c>
      <c r="V65" s="341">
        <f t="shared" si="14"/>
        <v>1.1178534600410512</v>
      </c>
      <c r="W65" s="310"/>
    </row>
    <row r="66" spans="1:23" ht="15.75">
      <c r="A66" s="933"/>
      <c r="B66" s="347">
        <v>15</v>
      </c>
      <c r="C66" s="341">
        <f t="shared" si="15"/>
        <v>10.009407028374795</v>
      </c>
      <c r="D66" s="341">
        <f t="shared" si="14"/>
        <v>8.979594471026696</v>
      </c>
      <c r="E66" s="341">
        <f t="shared" si="14"/>
        <v>8.18939150321387</v>
      </c>
      <c r="F66" s="341">
        <f t="shared" si="14"/>
        <v>7.523219585722893</v>
      </c>
      <c r="G66" s="341">
        <f t="shared" si="14"/>
        <v>6.9363103444506855</v>
      </c>
      <c r="H66" s="341">
        <f t="shared" si="14"/>
        <v>6.405703831614524</v>
      </c>
      <c r="I66" s="341">
        <f t="shared" si="14"/>
        <v>5.917760785078107</v>
      </c>
      <c r="J66" s="341">
        <f t="shared" si="14"/>
        <v>5.4635944710266955</v>
      </c>
      <c r="K66" s="341">
        <f t="shared" si="14"/>
        <v>5.037032143070993</v>
      </c>
      <c r="L66" s="341">
        <f t="shared" si="14"/>
        <v>4.633579462137433</v>
      </c>
      <c r="M66" s="341">
        <f t="shared" si="14"/>
        <v>4.249843565257105</v>
      </c>
      <c r="N66" s="341">
        <f t="shared" si="14"/>
        <v>3.8831885354010414</v>
      </c>
      <c r="O66" s="341">
        <f t="shared" si="14"/>
        <v>3.5315181661305797</v>
      </c>
      <c r="P66" s="341">
        <f t="shared" si="14"/>
        <v>3.193132861323594</v>
      </c>
      <c r="Q66" s="341">
        <f t="shared" si="14"/>
        <v>2.866631910085875</v>
      </c>
      <c r="R66" s="341">
        <f t="shared" si="14"/>
        <v>2.5508447004190913</v>
      </c>
      <c r="S66" s="341">
        <f t="shared" si="14"/>
        <v>2.2447810398886574</v>
      </c>
      <c r="T66" s="341">
        <f t="shared" si="14"/>
        <v>1.9475944710266955</v>
      </c>
      <c r="U66" s="341">
        <f t="shared" si="14"/>
        <v>1.6585546538072364</v>
      </c>
      <c r="V66" s="341">
        <f t="shared" si="14"/>
        <v>1.3770262178746737</v>
      </c>
      <c r="W66" s="310"/>
    </row>
    <row r="67" spans="1:23" ht="15.75">
      <c r="A67" s="933"/>
      <c r="B67" s="347">
        <v>16</v>
      </c>
      <c r="C67" s="341">
        <f t="shared" si="15"/>
        <v>10.238566850155653</v>
      </c>
      <c r="D67" s="341">
        <f t="shared" si="14"/>
        <v>9.208754292807555</v>
      </c>
      <c r="E67" s="341">
        <f t="shared" si="14"/>
        <v>8.418551324994727</v>
      </c>
      <c r="F67" s="341">
        <f t="shared" si="14"/>
        <v>7.752379407503752</v>
      </c>
      <c r="G67" s="341">
        <f t="shared" si="14"/>
        <v>7.165470166231544</v>
      </c>
      <c r="H67" s="341">
        <f t="shared" si="14"/>
        <v>6.634863653395382</v>
      </c>
      <c r="I67" s="341">
        <f t="shared" si="14"/>
        <v>6.1469206068589655</v>
      </c>
      <c r="J67" s="341">
        <f t="shared" si="14"/>
        <v>5.692754292807554</v>
      </c>
      <c r="K67" s="341">
        <f t="shared" si="14"/>
        <v>5.266191964851852</v>
      </c>
      <c r="L67" s="341">
        <f t="shared" si="14"/>
        <v>4.862739283918292</v>
      </c>
      <c r="M67" s="341">
        <f t="shared" si="14"/>
        <v>4.479003387037964</v>
      </c>
      <c r="N67" s="341">
        <f t="shared" si="14"/>
        <v>4.1123483571819</v>
      </c>
      <c r="O67" s="341">
        <f t="shared" si="14"/>
        <v>3.7606779879114387</v>
      </c>
      <c r="P67" s="341">
        <f t="shared" si="14"/>
        <v>3.422292683104453</v>
      </c>
      <c r="Q67" s="341">
        <f t="shared" si="14"/>
        <v>3.095791731866734</v>
      </c>
      <c r="R67" s="341">
        <f t="shared" si="14"/>
        <v>2.7800045221999503</v>
      </c>
      <c r="S67" s="341">
        <f t="shared" si="14"/>
        <v>2.4739408616695164</v>
      </c>
      <c r="T67" s="341">
        <f t="shared" si="14"/>
        <v>2.1767542928075545</v>
      </c>
      <c r="U67" s="341">
        <f t="shared" si="14"/>
        <v>1.8877144755880955</v>
      </c>
      <c r="V67" s="341">
        <f t="shared" si="14"/>
        <v>1.6061860396555327</v>
      </c>
      <c r="W67" s="310"/>
    </row>
    <row r="68" spans="1:23" ht="15.75">
      <c r="A68" s="933"/>
      <c r="B68" s="347">
        <v>17</v>
      </c>
      <c r="C68" s="341">
        <f t="shared" si="15"/>
        <v>10.442674260758604</v>
      </c>
      <c r="D68" s="341">
        <f t="shared" si="14"/>
        <v>9.412861703410504</v>
      </c>
      <c r="E68" s="341">
        <f t="shared" si="14"/>
        <v>8.622658735597678</v>
      </c>
      <c r="F68" s="341">
        <f t="shared" si="14"/>
        <v>7.956486818106701</v>
      </c>
      <c r="G68" s="341">
        <f t="shared" si="14"/>
        <v>7.3695775768344935</v>
      </c>
      <c r="H68" s="341">
        <f t="shared" si="14"/>
        <v>6.838971063998332</v>
      </c>
      <c r="I68" s="341">
        <f t="shared" si="14"/>
        <v>6.351028017461915</v>
      </c>
      <c r="J68" s="341">
        <f t="shared" si="14"/>
        <v>5.8968617034105035</v>
      </c>
      <c r="K68" s="341">
        <f t="shared" si="14"/>
        <v>5.470299375454801</v>
      </c>
      <c r="L68" s="341">
        <f t="shared" si="14"/>
        <v>5.066846694521241</v>
      </c>
      <c r="M68" s="341">
        <f t="shared" si="14"/>
        <v>4.683110797640913</v>
      </c>
      <c r="N68" s="341">
        <f t="shared" si="14"/>
        <v>4.316455767784849</v>
      </c>
      <c r="O68" s="341">
        <f t="shared" si="14"/>
        <v>3.964785398514388</v>
      </c>
      <c r="P68" s="341">
        <f t="shared" si="14"/>
        <v>3.6264000937074026</v>
      </c>
      <c r="Q68" s="341">
        <f t="shared" si="14"/>
        <v>3.2998991424696835</v>
      </c>
      <c r="R68" s="341">
        <f t="shared" si="14"/>
        <v>2.9841119328028998</v>
      </c>
      <c r="S68" s="341">
        <f t="shared" si="14"/>
        <v>2.678048272272466</v>
      </c>
      <c r="T68" s="341">
        <f t="shared" si="14"/>
        <v>2.380861703410504</v>
      </c>
      <c r="U68" s="341">
        <f t="shared" si="14"/>
        <v>2.091821886191045</v>
      </c>
      <c r="V68" s="341">
        <f t="shared" si="14"/>
        <v>1.810293450258482</v>
      </c>
      <c r="W68" s="310"/>
    </row>
    <row r="69" spans="1:23" ht="15.75">
      <c r="A69" s="933"/>
      <c r="B69" s="347">
        <v>18</v>
      </c>
      <c r="C69" s="341">
        <f t="shared" si="15"/>
        <v>10.62566218890742</v>
      </c>
      <c r="D69" s="341">
        <f t="shared" si="14"/>
        <v>9.595849631559322</v>
      </c>
      <c r="E69" s="341">
        <f t="shared" si="14"/>
        <v>8.805646663746494</v>
      </c>
      <c r="F69" s="341">
        <f t="shared" si="14"/>
        <v>8.13947474625552</v>
      </c>
      <c r="G69" s="341">
        <f t="shared" si="14"/>
        <v>7.552565504983312</v>
      </c>
      <c r="H69" s="341">
        <f t="shared" si="14"/>
        <v>7.02195899214715</v>
      </c>
      <c r="I69" s="341">
        <f t="shared" si="14"/>
        <v>6.534015945610733</v>
      </c>
      <c r="J69" s="341">
        <f t="shared" si="14"/>
        <v>6.079849631559322</v>
      </c>
      <c r="K69" s="341">
        <f t="shared" si="14"/>
        <v>5.653287303603619</v>
      </c>
      <c r="L69" s="341">
        <f aca="true" t="shared" si="16" ref="L69:V69">16-1.758*SQRT(L$55)-(1.002/TAN(RADIANS($B69+(7.31/($B69+4.4)))))+0.144*COS(RADIANS($B69))</f>
        <v>5.249834622670059</v>
      </c>
      <c r="M69" s="341">
        <f t="shared" si="16"/>
        <v>4.8660987257897315</v>
      </c>
      <c r="N69" s="341">
        <f t="shared" si="16"/>
        <v>4.499443695933667</v>
      </c>
      <c r="O69" s="341">
        <f t="shared" si="16"/>
        <v>4.147773326663206</v>
      </c>
      <c r="P69" s="341">
        <f t="shared" si="16"/>
        <v>3.80938802185622</v>
      </c>
      <c r="Q69" s="341">
        <f t="shared" si="16"/>
        <v>3.482887070618501</v>
      </c>
      <c r="R69" s="341">
        <f t="shared" si="16"/>
        <v>3.1670998609517174</v>
      </c>
      <c r="S69" s="341">
        <f t="shared" si="16"/>
        <v>2.8610362004212835</v>
      </c>
      <c r="T69" s="341">
        <f t="shared" si="16"/>
        <v>2.5638496315593216</v>
      </c>
      <c r="U69" s="341">
        <f t="shared" si="16"/>
        <v>2.2748098143398625</v>
      </c>
      <c r="V69" s="341">
        <f t="shared" si="16"/>
        <v>1.9932813784072998</v>
      </c>
      <c r="W69" s="310"/>
    </row>
    <row r="70" spans="1:23" ht="15.75">
      <c r="A70" s="933"/>
      <c r="B70" s="347">
        <v>19</v>
      </c>
      <c r="C70" s="341">
        <f t="shared" si="15"/>
        <v>10.7906871788586</v>
      </c>
      <c r="D70" s="341">
        <f t="shared" si="15"/>
        <v>9.760874621510501</v>
      </c>
      <c r="E70" s="341">
        <f t="shared" si="15"/>
        <v>8.970671653697673</v>
      </c>
      <c r="F70" s="341">
        <f t="shared" si="15"/>
        <v>8.304499736206699</v>
      </c>
      <c r="G70" s="341">
        <f t="shared" si="15"/>
        <v>7.717590494934491</v>
      </c>
      <c r="H70" s="341">
        <f t="shared" si="15"/>
        <v>7.1869839820983294</v>
      </c>
      <c r="I70" s="341">
        <f t="shared" si="15"/>
        <v>6.6990409355619125</v>
      </c>
      <c r="J70" s="341">
        <f t="shared" si="15"/>
        <v>6.244874621510501</v>
      </c>
      <c r="K70" s="341">
        <f t="shared" si="15"/>
        <v>5.818312293554799</v>
      </c>
      <c r="L70" s="341">
        <f t="shared" si="15"/>
        <v>5.414859612621239</v>
      </c>
      <c r="M70" s="341">
        <f t="shared" si="15"/>
        <v>5.031123715740911</v>
      </c>
      <c r="N70" s="341">
        <f t="shared" si="15"/>
        <v>4.664468685884847</v>
      </c>
      <c r="O70" s="341">
        <f t="shared" si="15"/>
        <v>4.312798316614385</v>
      </c>
      <c r="P70" s="341">
        <f t="shared" si="15"/>
        <v>3.9744130118073997</v>
      </c>
      <c r="Q70" s="341">
        <f t="shared" si="15"/>
        <v>3.6479120605696806</v>
      </c>
      <c r="R70" s="341">
        <f t="shared" si="15"/>
        <v>3.332124850902897</v>
      </c>
      <c r="S70" s="341">
        <f aca="true" t="shared" si="17" ref="S70:V81">16-1.758*SQRT(S$55)-(1.002/TAN(RADIANS($B70+(7.31/($B70+4.4)))))+0.144*COS(RADIANS($B70))</f>
        <v>3.026061190372463</v>
      </c>
      <c r="T70" s="341">
        <f t="shared" si="17"/>
        <v>2.728874621510501</v>
      </c>
      <c r="U70" s="341">
        <f t="shared" si="17"/>
        <v>2.439834804291042</v>
      </c>
      <c r="V70" s="341">
        <f t="shared" si="17"/>
        <v>2.1583063683584793</v>
      </c>
      <c r="W70" s="310"/>
    </row>
    <row r="71" spans="1:23" ht="15.75">
      <c r="A71" s="933"/>
      <c r="B71" s="347">
        <v>20</v>
      </c>
      <c r="C71" s="341">
        <f t="shared" si="15"/>
        <v>10.940310773457515</v>
      </c>
      <c r="D71" s="341">
        <f t="shared" si="15"/>
        <v>9.910498216109415</v>
      </c>
      <c r="E71" s="341">
        <f t="shared" si="15"/>
        <v>9.120295248296589</v>
      </c>
      <c r="F71" s="341">
        <f t="shared" si="15"/>
        <v>8.454123330805613</v>
      </c>
      <c r="G71" s="341">
        <f t="shared" si="15"/>
        <v>7.867214089533405</v>
      </c>
      <c r="H71" s="341">
        <f t="shared" si="15"/>
        <v>7.336607576697244</v>
      </c>
      <c r="I71" s="341">
        <f t="shared" si="15"/>
        <v>6.848664530160827</v>
      </c>
      <c r="J71" s="341">
        <f t="shared" si="15"/>
        <v>6.394498216109415</v>
      </c>
      <c r="K71" s="341">
        <f t="shared" si="15"/>
        <v>5.967935888153713</v>
      </c>
      <c r="L71" s="341">
        <f t="shared" si="15"/>
        <v>5.564483207220153</v>
      </c>
      <c r="M71" s="341">
        <f t="shared" si="15"/>
        <v>5.180747310339825</v>
      </c>
      <c r="N71" s="341">
        <f t="shared" si="15"/>
        <v>4.814092280483761</v>
      </c>
      <c r="O71" s="341">
        <f t="shared" si="15"/>
        <v>4.4624219112132995</v>
      </c>
      <c r="P71" s="341">
        <f t="shared" si="15"/>
        <v>4.124036606406314</v>
      </c>
      <c r="Q71" s="341">
        <f t="shared" si="15"/>
        <v>3.797535655168595</v>
      </c>
      <c r="R71" s="341">
        <f t="shared" si="15"/>
        <v>3.481748445501811</v>
      </c>
      <c r="S71" s="341">
        <f t="shared" si="17"/>
        <v>3.175684784971377</v>
      </c>
      <c r="T71" s="341">
        <f t="shared" si="17"/>
        <v>2.8784982161094153</v>
      </c>
      <c r="U71" s="341">
        <f t="shared" si="17"/>
        <v>2.589458398889956</v>
      </c>
      <c r="V71" s="341">
        <f t="shared" si="17"/>
        <v>2.3079299629573935</v>
      </c>
      <c r="W71" s="310"/>
    </row>
    <row r="72" spans="1:23" ht="15.75">
      <c r="A72" s="933"/>
      <c r="B72" s="347">
        <v>25</v>
      </c>
      <c r="C72" s="341">
        <f t="shared" si="15"/>
        <v>11.519646113469298</v>
      </c>
      <c r="D72" s="341">
        <f t="shared" si="15"/>
        <v>10.489833556121198</v>
      </c>
      <c r="E72" s="341">
        <f t="shared" si="15"/>
        <v>9.699630588308372</v>
      </c>
      <c r="F72" s="341">
        <f t="shared" si="15"/>
        <v>9.033458670817396</v>
      </c>
      <c r="G72" s="341">
        <f t="shared" si="15"/>
        <v>8.446549429545188</v>
      </c>
      <c r="H72" s="341">
        <f t="shared" si="15"/>
        <v>7.915942916709026</v>
      </c>
      <c r="I72" s="341">
        <f t="shared" si="15"/>
        <v>7.427999870172609</v>
      </c>
      <c r="J72" s="341">
        <f t="shared" si="15"/>
        <v>6.973833556121198</v>
      </c>
      <c r="K72" s="341">
        <f t="shared" si="15"/>
        <v>6.547271228165496</v>
      </c>
      <c r="L72" s="341">
        <f t="shared" si="15"/>
        <v>6.143818547231936</v>
      </c>
      <c r="M72" s="341">
        <f t="shared" si="15"/>
        <v>5.760082650351608</v>
      </c>
      <c r="N72" s="341">
        <f t="shared" si="15"/>
        <v>5.393427620495544</v>
      </c>
      <c r="O72" s="341">
        <f t="shared" si="15"/>
        <v>5.041757251225082</v>
      </c>
      <c r="P72" s="341">
        <f t="shared" si="15"/>
        <v>4.7033719464180965</v>
      </c>
      <c r="Q72" s="341">
        <f t="shared" si="15"/>
        <v>4.3768709951803775</v>
      </c>
      <c r="R72" s="341">
        <f t="shared" si="15"/>
        <v>4.061083785513594</v>
      </c>
      <c r="S72" s="341">
        <f t="shared" si="17"/>
        <v>3.75502012498316</v>
      </c>
      <c r="T72" s="341">
        <f t="shared" si="17"/>
        <v>3.457833556121198</v>
      </c>
      <c r="U72" s="341">
        <f t="shared" si="17"/>
        <v>3.168793738901739</v>
      </c>
      <c r="V72" s="341">
        <f t="shared" si="17"/>
        <v>2.887265302969176</v>
      </c>
      <c r="W72" s="310"/>
    </row>
    <row r="73" spans="1:23" ht="15.75">
      <c r="A73" s="933"/>
      <c r="B73" s="347">
        <v>30</v>
      </c>
      <c r="C73" s="341">
        <f t="shared" si="15"/>
        <v>11.917775461672846</v>
      </c>
      <c r="D73" s="341">
        <f t="shared" si="15"/>
        <v>10.887962904324747</v>
      </c>
      <c r="E73" s="341">
        <f t="shared" si="15"/>
        <v>10.09775993651192</v>
      </c>
      <c r="F73" s="341">
        <f t="shared" si="15"/>
        <v>9.431588019020944</v>
      </c>
      <c r="G73" s="341">
        <f t="shared" si="15"/>
        <v>8.844678777748737</v>
      </c>
      <c r="H73" s="341">
        <f t="shared" si="15"/>
        <v>8.314072264912575</v>
      </c>
      <c r="I73" s="341">
        <f t="shared" si="15"/>
        <v>7.826129218376157</v>
      </c>
      <c r="J73" s="341">
        <f t="shared" si="15"/>
        <v>7.371962904324746</v>
      </c>
      <c r="K73" s="341">
        <f t="shared" si="15"/>
        <v>6.945400576369043</v>
      </c>
      <c r="L73" s="341">
        <f t="shared" si="15"/>
        <v>6.5419478954354835</v>
      </c>
      <c r="M73" s="341">
        <f t="shared" si="15"/>
        <v>6.1582119985551556</v>
      </c>
      <c r="N73" s="341">
        <f t="shared" si="15"/>
        <v>5.7915569686990915</v>
      </c>
      <c r="O73" s="341">
        <f t="shared" si="15"/>
        <v>5.43988659942863</v>
      </c>
      <c r="P73" s="341">
        <f t="shared" si="15"/>
        <v>5.101501294621644</v>
      </c>
      <c r="Q73" s="341">
        <f t="shared" si="15"/>
        <v>4.775000343383925</v>
      </c>
      <c r="R73" s="341">
        <f t="shared" si="15"/>
        <v>4.4592131337171415</v>
      </c>
      <c r="S73" s="341">
        <f t="shared" si="17"/>
        <v>4.153149473186708</v>
      </c>
      <c r="T73" s="341">
        <f t="shared" si="17"/>
        <v>3.8559629043247465</v>
      </c>
      <c r="U73" s="341">
        <f t="shared" si="17"/>
        <v>3.5669230871052875</v>
      </c>
      <c r="V73" s="341">
        <f t="shared" si="17"/>
        <v>3.285394651172725</v>
      </c>
      <c r="W73" s="310"/>
    </row>
    <row r="74" spans="1:23" ht="15.75">
      <c r="A74" s="933"/>
      <c r="B74" s="347">
        <v>35</v>
      </c>
      <c r="C74" s="341">
        <f t="shared" si="15"/>
        <v>12.210583206935258</v>
      </c>
      <c r="D74" s="341">
        <f t="shared" si="15"/>
        <v>11.180770649587158</v>
      </c>
      <c r="E74" s="341">
        <f t="shared" si="15"/>
        <v>10.390567681774332</v>
      </c>
      <c r="F74" s="341">
        <f t="shared" si="15"/>
        <v>9.724395764283356</v>
      </c>
      <c r="G74" s="341">
        <f t="shared" si="15"/>
        <v>9.137486523011148</v>
      </c>
      <c r="H74" s="341">
        <f t="shared" si="15"/>
        <v>8.606880010174986</v>
      </c>
      <c r="I74" s="341">
        <f t="shared" si="15"/>
        <v>8.11893696363857</v>
      </c>
      <c r="J74" s="341">
        <f t="shared" si="15"/>
        <v>7.66477064958716</v>
      </c>
      <c r="K74" s="341">
        <f t="shared" si="15"/>
        <v>7.238208321631458</v>
      </c>
      <c r="L74" s="341">
        <f t="shared" si="15"/>
        <v>6.834755640697898</v>
      </c>
      <c r="M74" s="341">
        <f t="shared" si="15"/>
        <v>6.45101974381757</v>
      </c>
      <c r="N74" s="341">
        <f t="shared" si="15"/>
        <v>6.084364713961506</v>
      </c>
      <c r="O74" s="341">
        <f t="shared" si="15"/>
        <v>5.732694344691044</v>
      </c>
      <c r="P74" s="341">
        <f t="shared" si="15"/>
        <v>5.3943090398840585</v>
      </c>
      <c r="Q74" s="341">
        <f t="shared" si="15"/>
        <v>5.0678080886463395</v>
      </c>
      <c r="R74" s="341">
        <f t="shared" si="15"/>
        <v>4.752020878979556</v>
      </c>
      <c r="S74" s="341">
        <f t="shared" si="17"/>
        <v>4.445957218449122</v>
      </c>
      <c r="T74" s="341">
        <f t="shared" si="17"/>
        <v>4.14877064958716</v>
      </c>
      <c r="U74" s="341">
        <f t="shared" si="17"/>
        <v>3.8597308323677004</v>
      </c>
      <c r="V74" s="341">
        <f t="shared" si="17"/>
        <v>3.5782023964351377</v>
      </c>
      <c r="W74" s="310"/>
    </row>
    <row r="75" spans="1:23" ht="15.75">
      <c r="A75" s="933"/>
      <c r="B75" s="347">
        <v>40</v>
      </c>
      <c r="C75" s="341">
        <f t="shared" si="15"/>
        <v>12.436930677304394</v>
      </c>
      <c r="D75" s="341">
        <f t="shared" si="15"/>
        <v>11.407118119956294</v>
      </c>
      <c r="E75" s="341">
        <f t="shared" si="15"/>
        <v>10.616915152143468</v>
      </c>
      <c r="F75" s="341">
        <f t="shared" si="15"/>
        <v>9.950743234652492</v>
      </c>
      <c r="G75" s="341">
        <f t="shared" si="15"/>
        <v>9.363833993380284</v>
      </c>
      <c r="H75" s="341">
        <f t="shared" si="15"/>
        <v>8.833227480544123</v>
      </c>
      <c r="I75" s="341">
        <f t="shared" si="15"/>
        <v>8.345284434007706</v>
      </c>
      <c r="J75" s="341">
        <f t="shared" si="15"/>
        <v>7.891118119956294</v>
      </c>
      <c r="K75" s="341">
        <f t="shared" si="15"/>
        <v>7.464555792000592</v>
      </c>
      <c r="L75" s="341">
        <f t="shared" si="15"/>
        <v>7.061103111067032</v>
      </c>
      <c r="M75" s="341">
        <f t="shared" si="15"/>
        <v>6.677367214186704</v>
      </c>
      <c r="N75" s="341">
        <f t="shared" si="15"/>
        <v>6.31071218433064</v>
      </c>
      <c r="O75" s="341">
        <f t="shared" si="15"/>
        <v>5.9590418150601785</v>
      </c>
      <c r="P75" s="341">
        <f t="shared" si="15"/>
        <v>5.620656510253193</v>
      </c>
      <c r="Q75" s="341">
        <f t="shared" si="15"/>
        <v>5.294155559015474</v>
      </c>
      <c r="R75" s="341">
        <f t="shared" si="15"/>
        <v>4.97836834934869</v>
      </c>
      <c r="S75" s="341">
        <f t="shared" si="17"/>
        <v>4.672304688818256</v>
      </c>
      <c r="T75" s="341">
        <f t="shared" si="17"/>
        <v>4.375118119956294</v>
      </c>
      <c r="U75" s="341">
        <f t="shared" si="17"/>
        <v>4.086078302736835</v>
      </c>
      <c r="V75" s="341">
        <f t="shared" si="17"/>
        <v>3.8045498668042725</v>
      </c>
      <c r="W75" s="310"/>
    </row>
    <row r="76" spans="1:23" ht="15.75">
      <c r="A76" s="933"/>
      <c r="B76" s="347">
        <v>45</v>
      </c>
      <c r="C76" s="341">
        <f t="shared" si="15"/>
        <v>12.618798270046387</v>
      </c>
      <c r="D76" s="341">
        <f t="shared" si="15"/>
        <v>11.588985712698287</v>
      </c>
      <c r="E76" s="341">
        <f t="shared" si="15"/>
        <v>10.798782744885461</v>
      </c>
      <c r="F76" s="341">
        <f t="shared" si="15"/>
        <v>10.132610827394485</v>
      </c>
      <c r="G76" s="341">
        <f t="shared" si="15"/>
        <v>9.545701586122277</v>
      </c>
      <c r="H76" s="341">
        <f t="shared" si="15"/>
        <v>9.015095073286115</v>
      </c>
      <c r="I76" s="341">
        <f t="shared" si="15"/>
        <v>8.527152026749699</v>
      </c>
      <c r="J76" s="341">
        <f t="shared" si="15"/>
        <v>8.072985712698287</v>
      </c>
      <c r="K76" s="341">
        <f t="shared" si="15"/>
        <v>7.646423384742586</v>
      </c>
      <c r="L76" s="341">
        <f t="shared" si="15"/>
        <v>7.242970703809026</v>
      </c>
      <c r="M76" s="341">
        <f t="shared" si="15"/>
        <v>6.859234806928698</v>
      </c>
      <c r="N76" s="341">
        <f t="shared" si="15"/>
        <v>6.492579777072634</v>
      </c>
      <c r="O76" s="341">
        <f t="shared" si="15"/>
        <v>6.140909407802172</v>
      </c>
      <c r="P76" s="341">
        <f t="shared" si="15"/>
        <v>5.802524102995187</v>
      </c>
      <c r="Q76" s="341">
        <f t="shared" si="15"/>
        <v>5.476023151757468</v>
      </c>
      <c r="R76" s="341">
        <f t="shared" si="15"/>
        <v>5.160235942090684</v>
      </c>
      <c r="S76" s="341">
        <f t="shared" si="17"/>
        <v>4.85417228156025</v>
      </c>
      <c r="T76" s="341">
        <f t="shared" si="17"/>
        <v>4.556985712698288</v>
      </c>
      <c r="U76" s="341">
        <f t="shared" si="17"/>
        <v>4.267945895478829</v>
      </c>
      <c r="V76" s="341">
        <f t="shared" si="17"/>
        <v>3.9864174595462663</v>
      </c>
      <c r="W76" s="310"/>
    </row>
    <row r="77" spans="1:23" ht="15.75">
      <c r="A77" s="933"/>
      <c r="B77" s="347">
        <v>50</v>
      </c>
      <c r="C77" s="341">
        <f t="shared" si="15"/>
        <v>12.769592852428026</v>
      </c>
      <c r="D77" s="341">
        <f t="shared" si="15"/>
        <v>11.739780295079926</v>
      </c>
      <c r="E77" s="341">
        <f t="shared" si="15"/>
        <v>10.9495773272671</v>
      </c>
      <c r="F77" s="341">
        <f t="shared" si="15"/>
        <v>10.283405409776124</v>
      </c>
      <c r="G77" s="341">
        <f t="shared" si="15"/>
        <v>9.696496168503916</v>
      </c>
      <c r="H77" s="341">
        <f t="shared" si="15"/>
        <v>9.165889655667755</v>
      </c>
      <c r="I77" s="341">
        <f t="shared" si="15"/>
        <v>8.677946609131338</v>
      </c>
      <c r="J77" s="341">
        <f t="shared" si="15"/>
        <v>8.223780295079926</v>
      </c>
      <c r="K77" s="341">
        <f t="shared" si="15"/>
        <v>7.797217967124225</v>
      </c>
      <c r="L77" s="341">
        <f t="shared" si="15"/>
        <v>7.393765286190665</v>
      </c>
      <c r="M77" s="341">
        <f t="shared" si="15"/>
        <v>7.010029389310337</v>
      </c>
      <c r="N77" s="341">
        <f t="shared" si="15"/>
        <v>6.643374359454273</v>
      </c>
      <c r="O77" s="341">
        <f t="shared" si="15"/>
        <v>6.291703990183811</v>
      </c>
      <c r="P77" s="341">
        <f t="shared" si="15"/>
        <v>5.953318685376826</v>
      </c>
      <c r="Q77" s="341">
        <f t="shared" si="15"/>
        <v>5.626817734139107</v>
      </c>
      <c r="R77" s="341">
        <f t="shared" si="15"/>
        <v>5.311030524472323</v>
      </c>
      <c r="S77" s="341">
        <f t="shared" si="17"/>
        <v>5.004966863941889</v>
      </c>
      <c r="T77" s="341">
        <f t="shared" si="17"/>
        <v>4.707780295079927</v>
      </c>
      <c r="U77" s="341">
        <f t="shared" si="17"/>
        <v>4.418740477860468</v>
      </c>
      <c r="V77" s="341">
        <f t="shared" si="17"/>
        <v>4.1372120419279055</v>
      </c>
      <c r="W77" s="310"/>
    </row>
    <row r="78" spans="1:23" ht="15.75">
      <c r="A78" s="933"/>
      <c r="B78" s="347">
        <v>60</v>
      </c>
      <c r="C78" s="341">
        <f t="shared" si="15"/>
        <v>13.009951331886219</v>
      </c>
      <c r="D78" s="341">
        <f t="shared" si="15"/>
        <v>11.98013877453812</v>
      </c>
      <c r="E78" s="341">
        <f t="shared" si="15"/>
        <v>11.189935806725293</v>
      </c>
      <c r="F78" s="341">
        <f t="shared" si="15"/>
        <v>10.523763889234317</v>
      </c>
      <c r="G78" s="341">
        <f t="shared" si="15"/>
        <v>9.93685464796211</v>
      </c>
      <c r="H78" s="341">
        <f t="shared" si="15"/>
        <v>9.406248135125947</v>
      </c>
      <c r="I78" s="341">
        <f t="shared" si="15"/>
        <v>8.91830508858953</v>
      </c>
      <c r="J78" s="341">
        <f t="shared" si="15"/>
        <v>8.46413877453812</v>
      </c>
      <c r="K78" s="341">
        <f t="shared" si="15"/>
        <v>8.037576446582417</v>
      </c>
      <c r="L78" s="341">
        <f t="shared" si="15"/>
        <v>7.634123765648858</v>
      </c>
      <c r="M78" s="341">
        <f t="shared" si="15"/>
        <v>7.25038786876853</v>
      </c>
      <c r="N78" s="341">
        <f t="shared" si="15"/>
        <v>6.883732838912466</v>
      </c>
      <c r="O78" s="341">
        <f t="shared" si="15"/>
        <v>6.532062469642004</v>
      </c>
      <c r="P78" s="341">
        <f t="shared" si="15"/>
        <v>6.193677164835019</v>
      </c>
      <c r="Q78" s="341">
        <f t="shared" si="15"/>
        <v>5.8671762135973</v>
      </c>
      <c r="R78" s="341">
        <f t="shared" si="15"/>
        <v>5.551389003930516</v>
      </c>
      <c r="S78" s="341">
        <f t="shared" si="17"/>
        <v>5.245325343400082</v>
      </c>
      <c r="T78" s="341">
        <f t="shared" si="17"/>
        <v>4.94813877453812</v>
      </c>
      <c r="U78" s="341">
        <f t="shared" si="17"/>
        <v>4.659098957318661</v>
      </c>
      <c r="V78" s="341">
        <f t="shared" si="17"/>
        <v>4.377570521386098</v>
      </c>
      <c r="W78" s="310"/>
    </row>
    <row r="79" spans="1:23" ht="15.75">
      <c r="A79" s="933"/>
      <c r="B79" s="347">
        <v>70</v>
      </c>
      <c r="C79" s="341">
        <f t="shared" si="15"/>
        <v>13.2003099596513</v>
      </c>
      <c r="D79" s="341">
        <f t="shared" si="15"/>
        <v>12.1704974023032</v>
      </c>
      <c r="E79" s="341">
        <f t="shared" si="15"/>
        <v>11.380294434490374</v>
      </c>
      <c r="F79" s="341">
        <f t="shared" si="15"/>
        <v>10.714122516999398</v>
      </c>
      <c r="G79" s="341">
        <f t="shared" si="15"/>
        <v>10.12721327572719</v>
      </c>
      <c r="H79" s="341">
        <f t="shared" si="15"/>
        <v>9.596606762891028</v>
      </c>
      <c r="I79" s="341">
        <f t="shared" si="15"/>
        <v>9.108663716354611</v>
      </c>
      <c r="J79" s="341">
        <f t="shared" si="15"/>
        <v>8.6544974023032</v>
      </c>
      <c r="K79" s="341">
        <f t="shared" si="15"/>
        <v>8.227935074347497</v>
      </c>
      <c r="L79" s="341">
        <f t="shared" si="15"/>
        <v>7.824482393413939</v>
      </c>
      <c r="M79" s="341">
        <f t="shared" si="15"/>
        <v>7.440746496533611</v>
      </c>
      <c r="N79" s="341">
        <f t="shared" si="15"/>
        <v>7.074091466677547</v>
      </c>
      <c r="O79" s="341">
        <f t="shared" si="15"/>
        <v>6.722421097407086</v>
      </c>
      <c r="P79" s="341">
        <f t="shared" si="15"/>
        <v>6.3840357926001</v>
      </c>
      <c r="Q79" s="341">
        <f t="shared" si="15"/>
        <v>6.057534841362381</v>
      </c>
      <c r="R79" s="341">
        <f t="shared" si="15"/>
        <v>5.741747631695597</v>
      </c>
      <c r="S79" s="341">
        <f t="shared" si="17"/>
        <v>5.435683971165163</v>
      </c>
      <c r="T79" s="341">
        <f t="shared" si="17"/>
        <v>5.1384974023032015</v>
      </c>
      <c r="U79" s="341">
        <f t="shared" si="17"/>
        <v>4.8494575850837425</v>
      </c>
      <c r="V79" s="341">
        <f t="shared" si="17"/>
        <v>4.56792914915118</v>
      </c>
      <c r="W79" s="310"/>
    </row>
    <row r="80" spans="1:23" ht="15.75">
      <c r="A80" s="933"/>
      <c r="B80" s="347">
        <v>80</v>
      </c>
      <c r="C80" s="341">
        <f t="shared" si="15"/>
        <v>13.36369961537059</v>
      </c>
      <c r="D80" s="341">
        <f t="shared" si="15"/>
        <v>12.33388705802249</v>
      </c>
      <c r="E80" s="341">
        <f t="shared" si="15"/>
        <v>11.543684090209664</v>
      </c>
      <c r="F80" s="341">
        <f t="shared" si="15"/>
        <v>10.877512172718689</v>
      </c>
      <c r="G80" s="341">
        <f t="shared" si="15"/>
        <v>10.29060293144648</v>
      </c>
      <c r="H80" s="341">
        <f t="shared" si="15"/>
        <v>9.759996418610319</v>
      </c>
      <c r="I80" s="341">
        <f t="shared" si="15"/>
        <v>9.272053372073902</v>
      </c>
      <c r="J80" s="341">
        <f t="shared" si="15"/>
        <v>8.81788705802249</v>
      </c>
      <c r="K80" s="341">
        <f t="shared" si="15"/>
        <v>8.391324730066788</v>
      </c>
      <c r="L80" s="341">
        <f t="shared" si="15"/>
        <v>7.987872049133229</v>
      </c>
      <c r="M80" s="341">
        <f t="shared" si="15"/>
        <v>7.604136152252901</v>
      </c>
      <c r="N80" s="341">
        <f t="shared" si="15"/>
        <v>7.237481122396837</v>
      </c>
      <c r="O80" s="341">
        <f t="shared" si="15"/>
        <v>6.885810753126376</v>
      </c>
      <c r="P80" s="341">
        <f t="shared" si="15"/>
        <v>6.54742544831939</v>
      </c>
      <c r="Q80" s="341">
        <f t="shared" si="15"/>
        <v>6.220924497081671</v>
      </c>
      <c r="R80" s="341">
        <f t="shared" si="15"/>
        <v>5.905137287414887</v>
      </c>
      <c r="S80" s="341">
        <f t="shared" si="17"/>
        <v>5.599073626884453</v>
      </c>
      <c r="T80" s="341">
        <f t="shared" si="17"/>
        <v>5.3018870580224915</v>
      </c>
      <c r="U80" s="341">
        <f t="shared" si="17"/>
        <v>5.0128472408030325</v>
      </c>
      <c r="V80" s="341">
        <f t="shared" si="17"/>
        <v>4.73131880487047</v>
      </c>
      <c r="W80" s="310"/>
    </row>
    <row r="81" spans="1:23" ht="15.75">
      <c r="A81" s="933"/>
      <c r="B81" s="347">
        <v>90</v>
      </c>
      <c r="C81" s="341">
        <f t="shared" si="15"/>
        <v>13.515166782065204</v>
      </c>
      <c r="D81" s="341">
        <f t="shared" si="15"/>
        <v>12.485354224717105</v>
      </c>
      <c r="E81" s="341">
        <f t="shared" si="15"/>
        <v>11.695151256904278</v>
      </c>
      <c r="F81" s="341">
        <f t="shared" si="15"/>
        <v>11.028979339413302</v>
      </c>
      <c r="G81" s="341">
        <f t="shared" si="15"/>
        <v>10.442070098141095</v>
      </c>
      <c r="H81" s="341">
        <f t="shared" si="15"/>
        <v>9.911463585304933</v>
      </c>
      <c r="I81" s="341">
        <f t="shared" si="15"/>
        <v>9.423520538768516</v>
      </c>
      <c r="J81" s="341">
        <f t="shared" si="15"/>
        <v>8.969354224717105</v>
      </c>
      <c r="K81" s="341">
        <f t="shared" si="15"/>
        <v>8.542791896761402</v>
      </c>
      <c r="L81" s="341">
        <f t="shared" si="15"/>
        <v>8.139339215827842</v>
      </c>
      <c r="M81" s="341">
        <f t="shared" si="15"/>
        <v>7.7556033189475135</v>
      </c>
      <c r="N81" s="341">
        <f t="shared" si="15"/>
        <v>7.3889482890914495</v>
      </c>
      <c r="O81" s="341">
        <f t="shared" si="15"/>
        <v>7.037277919820988</v>
      </c>
      <c r="P81" s="341">
        <f t="shared" si="15"/>
        <v>6.698892615014002</v>
      </c>
      <c r="Q81" s="341">
        <f t="shared" si="15"/>
        <v>6.372391663776283</v>
      </c>
      <c r="R81" s="341">
        <f t="shared" si="15"/>
        <v>6.056604454109499</v>
      </c>
      <c r="S81" s="341">
        <f t="shared" si="17"/>
        <v>5.750540793579066</v>
      </c>
      <c r="T81" s="341">
        <f t="shared" si="17"/>
        <v>5.453354224717104</v>
      </c>
      <c r="U81" s="341">
        <f t="shared" si="17"/>
        <v>5.164314407497645</v>
      </c>
      <c r="V81" s="341">
        <f t="shared" si="17"/>
        <v>4.882785971565082</v>
      </c>
      <c r="W81" s="310"/>
    </row>
    <row r="82" spans="1:23" ht="18.75">
      <c r="A82" s="935" t="s">
        <v>337</v>
      </c>
      <c r="B82" s="935"/>
      <c r="C82" s="348" t="s">
        <v>360</v>
      </c>
      <c r="D82" s="348" t="s">
        <v>361</v>
      </c>
      <c r="E82" s="348" t="s">
        <v>362</v>
      </c>
      <c r="F82" s="348" t="s">
        <v>363</v>
      </c>
      <c r="G82" s="348" t="s">
        <v>364</v>
      </c>
      <c r="H82" s="348" t="s">
        <v>365</v>
      </c>
      <c r="I82" s="348" t="s">
        <v>366</v>
      </c>
      <c r="J82" s="348" t="s">
        <v>367</v>
      </c>
      <c r="K82" s="348" t="s">
        <v>368</v>
      </c>
      <c r="L82" s="348" t="s">
        <v>369</v>
      </c>
      <c r="M82" s="348" t="s">
        <v>370</v>
      </c>
      <c r="N82" s="348" t="s">
        <v>371</v>
      </c>
      <c r="O82" s="936"/>
      <c r="P82" s="937"/>
      <c r="Q82" s="937"/>
      <c r="R82" s="937"/>
      <c r="S82" s="937"/>
      <c r="T82" s="937"/>
      <c r="U82" s="937"/>
      <c r="V82" s="938"/>
      <c r="W82" s="310"/>
    </row>
    <row r="83" spans="1:23" ht="18.75">
      <c r="A83" s="942" t="s">
        <v>372</v>
      </c>
      <c r="B83" s="942"/>
      <c r="C83" s="349" t="s">
        <v>373</v>
      </c>
      <c r="D83" s="349" t="s">
        <v>374</v>
      </c>
      <c r="E83" s="349" t="s">
        <v>375</v>
      </c>
      <c r="F83" s="350" t="s">
        <v>376</v>
      </c>
      <c r="G83" s="349" t="s">
        <v>377</v>
      </c>
      <c r="H83" s="349" t="s">
        <v>377</v>
      </c>
      <c r="I83" s="349" t="s">
        <v>377</v>
      </c>
      <c r="J83" s="349" t="s">
        <v>377</v>
      </c>
      <c r="K83" s="349" t="s">
        <v>378</v>
      </c>
      <c r="L83" s="349" t="s">
        <v>375</v>
      </c>
      <c r="M83" s="349" t="s">
        <v>374</v>
      </c>
      <c r="N83" s="349" t="s">
        <v>373</v>
      </c>
      <c r="O83" s="939"/>
      <c r="P83" s="940"/>
      <c r="Q83" s="940"/>
      <c r="R83" s="940"/>
      <c r="S83" s="940"/>
      <c r="T83" s="940"/>
      <c r="U83" s="940"/>
      <c r="V83" s="941"/>
      <c r="W83" s="310"/>
    </row>
    <row r="84" spans="1:23" ht="12" customHeight="1">
      <c r="A84" s="310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</row>
  </sheetData>
  <sheetProtection password="C661" sheet="1" objects="1" scenarios="1" selectLockedCells="1"/>
  <mergeCells count="43">
    <mergeCell ref="A82:B82"/>
    <mergeCell ref="O82:V83"/>
    <mergeCell ref="A83:B83"/>
    <mergeCell ref="A44:G44"/>
    <mergeCell ref="A45:G45"/>
    <mergeCell ref="A50:S50"/>
    <mergeCell ref="A51:S51"/>
    <mergeCell ref="T51:V51"/>
    <mergeCell ref="T52:V52"/>
    <mergeCell ref="A53:S53"/>
    <mergeCell ref="T53:V53"/>
    <mergeCell ref="A54:S54"/>
    <mergeCell ref="A55:B55"/>
    <mergeCell ref="A56:A81"/>
    <mergeCell ref="R41:S41"/>
    <mergeCell ref="A42:G42"/>
    <mergeCell ref="H42:I42"/>
    <mergeCell ref="J42:K42"/>
    <mergeCell ref="L42:M42"/>
    <mergeCell ref="N42:O42"/>
    <mergeCell ref="P42:Q42"/>
    <mergeCell ref="R42:S42"/>
    <mergeCell ref="A41:G41"/>
    <mergeCell ref="H41:I41"/>
    <mergeCell ref="J41:K41"/>
    <mergeCell ref="L41:M41"/>
    <mergeCell ref="N41:O41"/>
    <mergeCell ref="P41:Q41"/>
    <mergeCell ref="A1:V1"/>
    <mergeCell ref="A2:V2"/>
    <mergeCell ref="A5:B5"/>
    <mergeCell ref="D5:E5"/>
    <mergeCell ref="G5:H5"/>
    <mergeCell ref="J5:K5"/>
    <mergeCell ref="M5:N5"/>
    <mergeCell ref="P5:Q5"/>
    <mergeCell ref="A20:C22"/>
    <mergeCell ref="D20:E20"/>
    <mergeCell ref="H20:I22"/>
    <mergeCell ref="M20:O22"/>
    <mergeCell ref="T20:V22"/>
    <mergeCell ref="A25:H25"/>
    <mergeCell ref="J25:R25"/>
  </mergeCells>
  <printOptions/>
  <pageMargins left="0.787401575" right="0.787401575" top="0.984251969" bottom="0.984251969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Eine Idee Nautik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Schmidt</dc:creator>
  <cp:keywords/>
  <dc:description/>
  <cp:lastModifiedBy>andre</cp:lastModifiedBy>
  <cp:lastPrinted>2016-07-03T02:42:58Z</cp:lastPrinted>
  <dcterms:created xsi:type="dcterms:W3CDTF">2016-05-30T21:36:02Z</dcterms:created>
  <dcterms:modified xsi:type="dcterms:W3CDTF">2019-03-29T22:53:47Z</dcterms:modified>
  <cp:category/>
  <cp:version/>
  <cp:contentType/>
  <cp:contentStatus/>
</cp:coreProperties>
</file>